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C:\Users\Diana Carolina\Downloads\"/>
    </mc:Choice>
  </mc:AlternateContent>
  <xr:revisionPtr revIDLastSave="0" documentId="13_ncr:1_{4A979FBA-9A1E-49FA-A527-77447D07741D}" xr6:coauthVersionLast="47" xr6:coauthVersionMax="47" xr10:uidLastSave="{00000000-0000-0000-0000-000000000000}"/>
  <bookViews>
    <workbookView xWindow="-120" yWindow="-120" windowWidth="29040" windowHeight="15720" tabRatio="644" activeTab="1" xr2:uid="{29278635-C00F-4C2F-9151-EE1F2F220BD6}"/>
  </bookViews>
  <sheets>
    <sheet name="Condiciones_RC" sheetId="2" r:id="rId1"/>
    <sheet name="Mapa_RC" sheetId="3" r:id="rId2"/>
    <sheet name="Control_RC" sheetId="4" r:id="rId3"/>
    <sheet name="Versionador_RC" sheetId="10" r:id="rId4"/>
    <sheet name="Ajustes" sheetId="11" state="hidden" r:id="rId5"/>
    <sheet name="Matrices_RC" sheetId="9" r:id="rId6"/>
    <sheet name="6.Control de cambios" sheetId="13" r:id="rId7"/>
  </sheets>
  <externalReferences>
    <externalReference r:id="rId8"/>
  </externalReferences>
  <definedNames>
    <definedName name="_xlnm._FilterDatabase" localSheetId="4" hidden="1">Ajustes!$A$8:$D$34</definedName>
    <definedName name="_xlnm._FilterDatabase" localSheetId="2" hidden="1">Control_RC!$A$5:$V$101</definedName>
    <definedName name="_xlnm._FilterDatabase" localSheetId="1" hidden="1">Mapa_RC!$B$5:$AA$21</definedName>
    <definedName name="Afectación">Condiciones_RC!$B$12:$C$12</definedName>
    <definedName name="C_Atributos">Condiciones_RC!$J$13:$J$18</definedName>
    <definedName name="C_Efecto">Condiciones_RC!$L$6:$L$8</definedName>
    <definedName name="C_Forma">Condiciones_RC!$I$9:$I$10</definedName>
    <definedName name="C_Frecuencia">Condiciones_RC!$D$67:$D$72</definedName>
    <definedName name="C_Momento">Condiciones_RC!$I$6:$I$8</definedName>
    <definedName name="C_Peso">Condiciones_RC!$K$13:$K$18</definedName>
    <definedName name="Cargos">[1]Formulas!$B$2:$B$18</definedName>
    <definedName name="Consecuencias">Condiciones_RC!$B$14:$B$16</definedName>
    <definedName name="F_Evento_Externo">Condiciones_RC!$D$97:$D$99</definedName>
    <definedName name="F_Infraestructura">Condiciones_RC!$D$93:$D$96</definedName>
    <definedName name="F_Procesos">Condiciones_RC!$D$82:$D$85</definedName>
    <definedName name="F_Talento_Humano">Condiciones_RC!$D$86:$D$88</definedName>
    <definedName name="F_Tecnología">Condiciones_RC!$D$89:$D$92</definedName>
    <definedName name="Factor">Condiciones_RC!$F$82:$F$86</definedName>
    <definedName name="Frecuencia">Condiciones_RC!$B$5:$B$9</definedName>
    <definedName name="I_Cualitativo">Condiciones_RC!$F$14:$F$16</definedName>
    <definedName name="I_Cuantitativo">Condiciones_RC!$E$14:$E$16</definedName>
    <definedName name="Imagen">Condiciones_RC!$C$12</definedName>
    <definedName name="Opciones">[1]Formulas!$A$2:$A$18</definedName>
    <definedName name="P_Cualitativa">Condiciones_RC!$F$5:$F$9</definedName>
    <definedName name="P_Cuantitativa">Condiciones_RC!$E$5:$E$9</definedName>
    <definedName name="Pesos">Condiciones_RC!$B$12</definedName>
    <definedName name="Procesos">Condiciones_RC!$B$67:$B$79</definedName>
    <definedName name="S_Nivel">Condiciones_RC!$F$28:$F$42</definedName>
    <definedName name="S_Posición">Condiciones_RC!$E$28:$E$42</definedName>
    <definedName name="Severidad">Condiciones_RC!$B$28:$B$42</definedName>
    <definedName name="Tratamiento">Condiciones_RC!$E$102:$E$105</definedName>
    <definedName name="X">[1]Formulas!$B$13</definedName>
  </definedNames>
  <calcPr calcId="191028"/>
  <pivotCaches>
    <pivotCache cacheId="2"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 l="1"/>
  <c r="C6" i="4" a="1"/>
  <c r="C6" i="4" s="1"/>
  <c r="W86" i="4"/>
  <c r="I8" i="4"/>
  <c r="J20" i="3"/>
  <c r="K6" i="3"/>
  <c r="G77" i="4" l="1"/>
  <c r="M6" i="10" l="1"/>
  <c r="L6" i="10"/>
  <c r="J6" i="10"/>
  <c r="I6" i="10"/>
  <c r="H6" i="10"/>
  <c r="G6" i="10"/>
  <c r="F6" i="10"/>
  <c r="E6" i="10"/>
  <c r="C6" i="10"/>
  <c r="X6" i="9"/>
  <c r="Y6" i="9"/>
  <c r="X7" i="9"/>
  <c r="Y7" i="9"/>
  <c r="X8" i="9"/>
  <c r="Y8" i="9"/>
  <c r="X9" i="9"/>
  <c r="Y9" i="9"/>
  <c r="X10" i="9"/>
  <c r="Y10" i="9"/>
  <c r="W7" i="9"/>
  <c r="W8" i="9"/>
  <c r="W9" i="9"/>
  <c r="W10" i="9"/>
  <c r="W6" i="9"/>
  <c r="O15" i="9"/>
  <c r="P15" i="9"/>
  <c r="O16" i="9"/>
  <c r="P16" i="9"/>
  <c r="O17" i="9"/>
  <c r="P17" i="9"/>
  <c r="O18" i="9"/>
  <c r="P18" i="9"/>
  <c r="O19" i="9"/>
  <c r="P19" i="9"/>
  <c r="N16" i="9"/>
  <c r="N17" i="9"/>
  <c r="N18" i="9"/>
  <c r="N19" i="9"/>
  <c r="N15" i="9"/>
  <c r="N6" i="9"/>
  <c r="O6" i="9"/>
  <c r="P6" i="9"/>
  <c r="O7" i="9"/>
  <c r="P7" i="9"/>
  <c r="O8" i="9"/>
  <c r="P8" i="9"/>
  <c r="O9" i="9"/>
  <c r="P9" i="9"/>
  <c r="O10" i="9"/>
  <c r="P10" i="9"/>
  <c r="N7" i="9"/>
  <c r="N8" i="9"/>
  <c r="N9" i="9"/>
  <c r="N10" i="9"/>
  <c r="A6" i="9"/>
  <c r="B6" i="9"/>
  <c r="B7" i="9"/>
  <c r="B8" i="9"/>
  <c r="B9" i="9"/>
  <c r="B10" i="9"/>
  <c r="B11" i="9"/>
  <c r="B12" i="9"/>
  <c r="B13" i="9"/>
  <c r="B14" i="9"/>
  <c r="B15" i="9"/>
  <c r="B16" i="9"/>
  <c r="B17" i="9"/>
  <c r="B18" i="9"/>
  <c r="B19" i="9"/>
  <c r="B20" i="9"/>
  <c r="B21" i="9"/>
  <c r="A7" i="9"/>
  <c r="A8" i="9"/>
  <c r="A9" i="9"/>
  <c r="A10" i="9"/>
  <c r="A11" i="9"/>
  <c r="A12" i="9"/>
  <c r="A13" i="9"/>
  <c r="A14" i="9"/>
  <c r="A15" i="9"/>
  <c r="A16" i="9"/>
  <c r="A17" i="9"/>
  <c r="A18" i="9"/>
  <c r="A19" i="9"/>
  <c r="A20" i="9"/>
  <c r="A21" i="9"/>
  <c r="M14" i="9"/>
  <c r="V5" i="9"/>
  <c r="M5" i="9"/>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O6" i="3"/>
  <c r="N6" i="3" s="1"/>
  <c r="O7" i="3"/>
  <c r="N7" i="3" s="1"/>
  <c r="O8" i="3"/>
  <c r="N8" i="3" s="1"/>
  <c r="O9" i="3"/>
  <c r="N9" i="3" s="1"/>
  <c r="O10" i="3"/>
  <c r="N10" i="3" s="1"/>
  <c r="O11" i="3"/>
  <c r="N11" i="3" s="1"/>
  <c r="O12" i="3"/>
  <c r="N12" i="3" s="1"/>
  <c r="O13" i="3"/>
  <c r="N13" i="3" s="1"/>
  <c r="O14" i="3"/>
  <c r="N14" i="3" s="1"/>
  <c r="O15" i="3"/>
  <c r="N15" i="3" s="1"/>
  <c r="O16" i="3"/>
  <c r="N16" i="3" s="1"/>
  <c r="O17" i="3"/>
  <c r="N17" i="3" s="1"/>
  <c r="O18" i="3"/>
  <c r="O19" i="3"/>
  <c r="O20" i="3"/>
  <c r="N20" i="3" s="1"/>
  <c r="O21" i="3"/>
  <c r="N21" i="3" s="1"/>
  <c r="J7" i="3"/>
  <c r="J8" i="3"/>
  <c r="J9" i="3"/>
  <c r="J10" i="3"/>
  <c r="J11" i="3"/>
  <c r="J12" i="3"/>
  <c r="J13" i="3"/>
  <c r="J14" i="3"/>
  <c r="J15" i="3"/>
  <c r="J16" i="3"/>
  <c r="J17" i="3"/>
  <c r="J18" i="3"/>
  <c r="J19" i="3"/>
  <c r="J21" i="3"/>
  <c r="I9" i="4"/>
  <c r="I10" i="4"/>
  <c r="I11" i="4"/>
  <c r="I23" i="4"/>
  <c r="I40" i="4"/>
  <c r="I41" i="4"/>
  <c r="I46" i="4"/>
  <c r="I47" i="4"/>
  <c r="I53" i="4"/>
  <c r="I58" i="4"/>
  <c r="I59" i="4"/>
  <c r="I71" i="4"/>
  <c r="I76" i="4"/>
  <c r="I77" i="4"/>
  <c r="I82" i="4"/>
  <c r="I83" i="4"/>
  <c r="I88" i="4"/>
  <c r="I89" i="4"/>
  <c r="I93" i="4"/>
  <c r="I94" i="4"/>
  <c r="I95" i="4"/>
  <c r="I100" i="4"/>
  <c r="I101" i="4"/>
  <c r="B6" i="4" a="1"/>
  <c r="B6" i="4" s="1"/>
  <c r="D54" i="2"/>
  <c r="E54" i="2"/>
  <c r="F54" i="2"/>
  <c r="D55" i="2"/>
  <c r="E55" i="2"/>
  <c r="F55" i="2"/>
  <c r="D56" i="2"/>
  <c r="E56" i="2"/>
  <c r="F56" i="2"/>
  <c r="D57" i="2"/>
  <c r="E57" i="2"/>
  <c r="F57" i="2"/>
  <c r="E53" i="2"/>
  <c r="F53" i="2"/>
  <c r="D53" i="2"/>
  <c r="G101" i="4"/>
  <c r="G95" i="4"/>
  <c r="G89" i="4"/>
  <c r="G83" i="4"/>
  <c r="G71" i="4"/>
  <c r="G65" i="4"/>
  <c r="G59" i="4"/>
  <c r="G53" i="4"/>
  <c r="G47" i="4"/>
  <c r="G41" i="4"/>
  <c r="G35" i="4"/>
  <c r="G29" i="4"/>
  <c r="G23" i="4"/>
  <c r="G17" i="4"/>
  <c r="G11" i="4"/>
  <c r="M6" i="3" s="1"/>
  <c r="Q6" i="3" s="1"/>
  <c r="I6" i="4" l="1"/>
  <c r="K6" i="10"/>
  <c r="Q6" i="10"/>
  <c r="R6" i="10"/>
  <c r="N19" i="3"/>
  <c r="N18" i="3"/>
  <c r="P6" i="3"/>
  <c r="Z6" i="4"/>
  <c r="A7" i="3"/>
  <c r="M7" i="3" s="1"/>
  <c r="Q7" i="3" s="1"/>
  <c r="P7" i="3" s="1"/>
  <c r="J15" i="2"/>
  <c r="J17" i="2"/>
  <c r="J14" i="2"/>
  <c r="J16" i="2"/>
  <c r="J18" i="2"/>
  <c r="J13" i="2"/>
  <c r="R7" i="3" l="1"/>
  <c r="E7" i="9" s="1"/>
  <c r="S7" i="3"/>
  <c r="C7" i="9" s="1"/>
  <c r="W6" i="4"/>
  <c r="Y6" i="4" s="1"/>
  <c r="W18" i="4"/>
  <c r="W30" i="4"/>
  <c r="W42" i="4"/>
  <c r="W54" i="4"/>
  <c r="W66" i="4"/>
  <c r="W78" i="4"/>
  <c r="W90" i="4"/>
  <c r="W7" i="4"/>
  <c r="W19" i="4"/>
  <c r="W31" i="4"/>
  <c r="W43" i="4"/>
  <c r="W55" i="4"/>
  <c r="W67" i="4"/>
  <c r="W79" i="4"/>
  <c r="W91" i="4"/>
  <c r="W8" i="4"/>
  <c r="W32" i="4"/>
  <c r="W56" i="4"/>
  <c r="W68" i="4"/>
  <c r="W92" i="4"/>
  <c r="W21" i="4"/>
  <c r="W57" i="4"/>
  <c r="W93" i="4"/>
  <c r="W10" i="4"/>
  <c r="W46" i="4"/>
  <c r="W70" i="4"/>
  <c r="W11" i="4"/>
  <c r="W47" i="4"/>
  <c r="W71" i="4"/>
  <c r="W95" i="4"/>
  <c r="W24" i="4"/>
  <c r="W36" i="4"/>
  <c r="W48" i="4"/>
  <c r="W72" i="4"/>
  <c r="W84" i="4"/>
  <c r="W13" i="4"/>
  <c r="W37" i="4"/>
  <c r="W61" i="4"/>
  <c r="W85" i="4"/>
  <c r="W14" i="4"/>
  <c r="W38" i="4"/>
  <c r="W62" i="4"/>
  <c r="W15" i="4"/>
  <c r="W39" i="4"/>
  <c r="W63" i="4"/>
  <c r="W87" i="4"/>
  <c r="W16" i="4"/>
  <c r="W40" i="4"/>
  <c r="W64" i="4"/>
  <c r="W88" i="4"/>
  <c r="W17" i="4"/>
  <c r="W41" i="4"/>
  <c r="W65" i="4"/>
  <c r="W89" i="4"/>
  <c r="W44" i="4"/>
  <c r="W80" i="4"/>
  <c r="W9" i="4"/>
  <c r="W45" i="4"/>
  <c r="W81" i="4"/>
  <c r="W34" i="4"/>
  <c r="W82" i="4"/>
  <c r="W35" i="4"/>
  <c r="W20" i="4"/>
  <c r="W33" i="4"/>
  <c r="W69" i="4"/>
  <c r="W22" i="4"/>
  <c r="W58" i="4"/>
  <c r="W94" i="4"/>
  <c r="W23" i="4"/>
  <c r="W59" i="4"/>
  <c r="W83" i="4"/>
  <c r="W12" i="4"/>
  <c r="W60" i="4"/>
  <c r="W96" i="4"/>
  <c r="W25" i="4"/>
  <c r="W49" i="4"/>
  <c r="W73" i="4"/>
  <c r="W97" i="4"/>
  <c r="W26" i="4"/>
  <c r="W50" i="4"/>
  <c r="W74" i="4"/>
  <c r="W98" i="4"/>
  <c r="W27" i="4"/>
  <c r="W51" i="4"/>
  <c r="W75" i="4"/>
  <c r="W99" i="4"/>
  <c r="W28" i="4"/>
  <c r="W52" i="4"/>
  <c r="W76" i="4"/>
  <c r="W100" i="4"/>
  <c r="W29" i="4"/>
  <c r="W53" i="4"/>
  <c r="W77" i="4"/>
  <c r="W101" i="4"/>
  <c r="S6" i="3"/>
  <c r="C6" i="9" s="1"/>
  <c r="R6" i="3"/>
  <c r="E6" i="9" s="1"/>
  <c r="C101" i="4"/>
  <c r="B101" i="4"/>
  <c r="C100" i="4"/>
  <c r="B100" i="4"/>
  <c r="C99" i="4"/>
  <c r="B99" i="4"/>
  <c r="C98" i="4"/>
  <c r="B98" i="4"/>
  <c r="C97" i="4"/>
  <c r="B97" i="4"/>
  <c r="C96" i="4"/>
  <c r="B96" i="4"/>
  <c r="C95" i="4"/>
  <c r="B95" i="4"/>
  <c r="C94" i="4"/>
  <c r="B94" i="4"/>
  <c r="C93" i="4"/>
  <c r="B93" i="4"/>
  <c r="C92" i="4"/>
  <c r="B92" i="4"/>
  <c r="C91" i="4"/>
  <c r="B91" i="4"/>
  <c r="C90" i="4"/>
  <c r="B90" i="4"/>
  <c r="C89" i="4"/>
  <c r="B89" i="4"/>
  <c r="C88" i="4"/>
  <c r="B88" i="4"/>
  <c r="C87" i="4"/>
  <c r="B87" i="4"/>
  <c r="C86" i="4"/>
  <c r="B86" i="4"/>
  <c r="C85" i="4"/>
  <c r="B85" i="4"/>
  <c r="C84" i="4"/>
  <c r="B84" i="4"/>
  <c r="C83" i="4"/>
  <c r="B83" i="4"/>
  <c r="C82" i="4"/>
  <c r="B82" i="4"/>
  <c r="C81" i="4"/>
  <c r="B81" i="4"/>
  <c r="C80" i="4"/>
  <c r="B80" i="4"/>
  <c r="C79" i="4"/>
  <c r="B79" i="4"/>
  <c r="C78" i="4"/>
  <c r="B78" i="4"/>
  <c r="C77" i="4"/>
  <c r="B77" i="4"/>
  <c r="C76" i="4"/>
  <c r="B76" i="4"/>
  <c r="C75" i="4"/>
  <c r="B75" i="4"/>
  <c r="C74" i="4"/>
  <c r="B74" i="4"/>
  <c r="C73" i="4"/>
  <c r="B73" i="4"/>
  <c r="C72" i="4"/>
  <c r="B72" i="4"/>
  <c r="C71" i="4"/>
  <c r="B71" i="4"/>
  <c r="C70" i="4"/>
  <c r="B70" i="4"/>
  <c r="C69" i="4"/>
  <c r="B69" i="4"/>
  <c r="C68" i="4"/>
  <c r="B68" i="4"/>
  <c r="C67" i="4"/>
  <c r="B67" i="4"/>
  <c r="C66" i="4"/>
  <c r="B66" i="4"/>
  <c r="C65" i="4"/>
  <c r="B65" i="4"/>
  <c r="C64" i="4"/>
  <c r="B64" i="4"/>
  <c r="C63" i="4"/>
  <c r="B63" i="4"/>
  <c r="C62" i="4"/>
  <c r="B62" i="4"/>
  <c r="C61" i="4"/>
  <c r="B61" i="4"/>
  <c r="C60" i="4"/>
  <c r="B60" i="4"/>
  <c r="C59" i="4"/>
  <c r="B59" i="4"/>
  <c r="C58" i="4"/>
  <c r="B58" i="4"/>
  <c r="C57" i="4"/>
  <c r="B57" i="4"/>
  <c r="C56" i="4"/>
  <c r="B56" i="4"/>
  <c r="C55" i="4"/>
  <c r="B55" i="4"/>
  <c r="C54" i="4"/>
  <c r="B54" i="4"/>
  <c r="C53" i="4"/>
  <c r="B53" i="4"/>
  <c r="C52" i="4"/>
  <c r="B52" i="4"/>
  <c r="C51" i="4"/>
  <c r="B51" i="4"/>
  <c r="C50" i="4"/>
  <c r="B50" i="4"/>
  <c r="C49" i="4"/>
  <c r="B49" i="4"/>
  <c r="C48" i="4"/>
  <c r="B48" i="4"/>
  <c r="C47" i="4"/>
  <c r="B47" i="4"/>
  <c r="C46" i="4"/>
  <c r="B46" i="4"/>
  <c r="C45" i="4"/>
  <c r="B45" i="4"/>
  <c r="C44" i="4"/>
  <c r="B44" i="4"/>
  <c r="C43" i="4"/>
  <c r="B43" i="4"/>
  <c r="C42" i="4"/>
  <c r="B42" i="4"/>
  <c r="C41" i="4"/>
  <c r="B41" i="4"/>
  <c r="C40" i="4"/>
  <c r="B40" i="4"/>
  <c r="C39" i="4"/>
  <c r="B39" i="4"/>
  <c r="C38" i="4"/>
  <c r="B38" i="4"/>
  <c r="C37" i="4"/>
  <c r="B37" i="4"/>
  <c r="C36" i="4"/>
  <c r="B36" i="4"/>
  <c r="C35" i="4"/>
  <c r="B35" i="4"/>
  <c r="C34" i="4"/>
  <c r="B34" i="4"/>
  <c r="C33" i="4"/>
  <c r="B33" i="4"/>
  <c r="C32" i="4"/>
  <c r="B32" i="4"/>
  <c r="C31" i="4"/>
  <c r="B31" i="4"/>
  <c r="C30" i="4"/>
  <c r="B30" i="4"/>
  <c r="C29" i="4"/>
  <c r="B29" i="4"/>
  <c r="C28" i="4"/>
  <c r="B28" i="4"/>
  <c r="C27" i="4"/>
  <c r="B27" i="4"/>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I7" i="4" s="1"/>
  <c r="B7" i="4"/>
  <c r="I74" i="4" l="1"/>
  <c r="I75" i="4" s="1"/>
  <c r="Z12" i="4"/>
  <c r="Y12" i="4"/>
  <c r="Y18" i="4"/>
  <c r="Y7" i="4"/>
  <c r="Y84" i="4"/>
  <c r="Y72" i="4"/>
  <c r="Y48" i="4"/>
  <c r="Y36" i="4"/>
  <c r="Z7" i="4"/>
  <c r="B11" i="10"/>
  <c r="Y11" i="10" s="1"/>
  <c r="Y24" i="4"/>
  <c r="Y90" i="4"/>
  <c r="Y91" i="4" s="1"/>
  <c r="Y78" i="4"/>
  <c r="Y79" i="4" s="1"/>
  <c r="Y54" i="4"/>
  <c r="Y96" i="4"/>
  <c r="Y42" i="4"/>
  <c r="Y60" i="4"/>
  <c r="Y30" i="4"/>
  <c r="Y66" i="4"/>
  <c r="Y67" i="4" s="1"/>
  <c r="I24" i="4"/>
  <c r="I42" i="4"/>
  <c r="I43" i="4" s="1"/>
  <c r="I44" i="4" s="1"/>
  <c r="I66" i="4"/>
  <c r="I67" i="4" s="1"/>
  <c r="I68" i="4" s="1"/>
  <c r="I96" i="4"/>
  <c r="I18" i="4"/>
  <c r="I19" i="4" s="1"/>
  <c r="I20" i="4" s="1"/>
  <c r="I21" i="4" s="1"/>
  <c r="I36" i="4"/>
  <c r="I54" i="4"/>
  <c r="I55" i="4" s="1"/>
  <c r="I56" i="4" s="1"/>
  <c r="I57" i="4" s="1"/>
  <c r="I78" i="4"/>
  <c r="I79" i="4" s="1"/>
  <c r="I80" i="4" s="1"/>
  <c r="I81" i="4" s="1"/>
  <c r="I90" i="4"/>
  <c r="I91" i="4" s="1"/>
  <c r="I30" i="4"/>
  <c r="I31" i="4" s="1"/>
  <c r="I32" i="4" s="1"/>
  <c r="I33" i="4" s="1"/>
  <c r="I48" i="4"/>
  <c r="I49" i="4" s="1"/>
  <c r="I72" i="4"/>
  <c r="I84" i="4"/>
  <c r="I12" i="4"/>
  <c r="I13" i="4" s="1"/>
  <c r="I60" i="4"/>
  <c r="A8" i="3"/>
  <c r="I86" i="4" l="1"/>
  <c r="I85" i="4"/>
  <c r="I92" i="4"/>
  <c r="I69" i="4"/>
  <c r="A9" i="3"/>
  <c r="M9" i="3" s="1"/>
  <c r="Q9" i="3" s="1"/>
  <c r="M8" i="3"/>
  <c r="Q8" i="3" s="1"/>
  <c r="Z13" i="4"/>
  <c r="Z14" i="4" s="1"/>
  <c r="Z15" i="4" s="1"/>
  <c r="Y73" i="4"/>
  <c r="Y74" i="4" s="1"/>
  <c r="Y85" i="4"/>
  <c r="I37" i="4"/>
  <c r="Y25" i="4"/>
  <c r="Y55" i="4"/>
  <c r="Y97" i="4"/>
  <c r="Y98" i="4" s="1"/>
  <c r="Y99" i="4" s="1"/>
  <c r="Y31" i="4"/>
  <c r="Y32" i="4" s="1"/>
  <c r="Z8" i="4"/>
  <c r="Z9" i="4" s="1"/>
  <c r="Y37" i="4"/>
  <c r="Y61" i="4"/>
  <c r="Y19" i="4"/>
  <c r="Y49" i="4"/>
  <c r="Y13" i="4"/>
  <c r="Y43" i="4"/>
  <c r="Y44" i="4" s="1"/>
  <c r="I97" i="4"/>
  <c r="I98" i="4" s="1"/>
  <c r="I61" i="4"/>
  <c r="I62" i="4" s="1"/>
  <c r="I63" i="4" s="1"/>
  <c r="Y8" i="4"/>
  <c r="L11" i="10"/>
  <c r="J11" i="10"/>
  <c r="M11" i="10"/>
  <c r="H11" i="10"/>
  <c r="R11" i="10"/>
  <c r="K11" i="10"/>
  <c r="F11" i="10"/>
  <c r="I11" i="10"/>
  <c r="D11" i="10"/>
  <c r="G11" i="10"/>
  <c r="Z11" i="10"/>
  <c r="W11" i="10"/>
  <c r="E11" i="10"/>
  <c r="X11" i="10"/>
  <c r="C11" i="10"/>
  <c r="V11" i="10"/>
  <c r="Q11" i="10"/>
  <c r="T11" i="10"/>
  <c r="U11" i="10"/>
  <c r="S11" i="10"/>
  <c r="B12" i="10"/>
  <c r="Y92" i="4"/>
  <c r="Y68" i="4"/>
  <c r="AA11" i="10"/>
  <c r="Y80" i="4"/>
  <c r="I14" i="4"/>
  <c r="I15" i="4" s="1"/>
  <c r="I50" i="4"/>
  <c r="I87" i="4"/>
  <c r="I25" i="4"/>
  <c r="I45" i="4"/>
  <c r="I34" i="4"/>
  <c r="I35" i="4" s="1"/>
  <c r="I22" i="4"/>
  <c r="I70" i="4" l="1"/>
  <c r="A10" i="3"/>
  <c r="M10" i="3" s="1"/>
  <c r="Q10" i="3" s="1"/>
  <c r="P10" i="3" s="1"/>
  <c r="I38" i="4"/>
  <c r="P8" i="3"/>
  <c r="Z18" i="4"/>
  <c r="Z19" i="4" s="1"/>
  <c r="Z20" i="4" s="1"/>
  <c r="P9" i="3"/>
  <c r="Z24" i="4"/>
  <c r="Z25" i="4" s="1"/>
  <c r="Z26" i="4" s="1"/>
  <c r="Y33" i="4"/>
  <c r="Y34" i="4" s="1"/>
  <c r="Y86" i="4"/>
  <c r="Y87" i="4" s="1"/>
  <c r="Y56" i="4"/>
  <c r="Y57" i="4" s="1"/>
  <c r="Y26" i="4"/>
  <c r="Y50" i="4"/>
  <c r="Y51" i="4" s="1"/>
  <c r="Y52" i="4" s="1"/>
  <c r="Y100" i="4"/>
  <c r="Y101" i="4" s="1"/>
  <c r="I99" i="4"/>
  <c r="Y93" i="4"/>
  <c r="Y14" i="4"/>
  <c r="Y20" i="4"/>
  <c r="Y62" i="4"/>
  <c r="AA12" i="10"/>
  <c r="Y38" i="4"/>
  <c r="Y9" i="4"/>
  <c r="G12" i="10"/>
  <c r="T12" i="10"/>
  <c r="E12" i="10"/>
  <c r="L12" i="10"/>
  <c r="C12" i="10"/>
  <c r="J12" i="10"/>
  <c r="W12" i="10"/>
  <c r="H12" i="10"/>
  <c r="U12" i="10"/>
  <c r="F12" i="10"/>
  <c r="Q12" i="10"/>
  <c r="D12" i="10"/>
  <c r="X12" i="10"/>
  <c r="R12" i="10"/>
  <c r="Y12" i="10"/>
  <c r="Z12" i="10"/>
  <c r="S12" i="10"/>
  <c r="M12" i="10"/>
  <c r="V12" i="10"/>
  <c r="K12" i="10"/>
  <c r="B13" i="10"/>
  <c r="I12" i="10"/>
  <c r="Y69" i="4"/>
  <c r="Y75" i="4"/>
  <c r="Y76" i="4" s="1"/>
  <c r="Y45" i="4"/>
  <c r="Y81" i="4"/>
  <c r="Z16" i="4"/>
  <c r="Z10" i="4"/>
  <c r="I16" i="4"/>
  <c r="I51" i="4"/>
  <c r="I52" i="4" s="1"/>
  <c r="I26" i="4"/>
  <c r="I64" i="4"/>
  <c r="I27" i="4" l="1"/>
  <c r="A11" i="3"/>
  <c r="M11" i="3" s="1"/>
  <c r="Q11" i="3" s="1"/>
  <c r="P11" i="3" s="1"/>
  <c r="Z30" i="4"/>
  <c r="Z31" i="4" s="1"/>
  <c r="Z32" i="4" s="1"/>
  <c r="Z33" i="4" s="1"/>
  <c r="Z34" i="4" s="1"/>
  <c r="I39" i="4"/>
  <c r="S9" i="3"/>
  <c r="C9" i="9" s="1"/>
  <c r="R9" i="3"/>
  <c r="E9" i="9" s="1"/>
  <c r="R8" i="3"/>
  <c r="E8" i="9" s="1"/>
  <c r="S8" i="3"/>
  <c r="C8" i="9" s="1"/>
  <c r="R10" i="3"/>
  <c r="E10" i="9" s="1"/>
  <c r="S10" i="3"/>
  <c r="C10" i="9" s="1"/>
  <c r="Y53" i="4"/>
  <c r="Y27" i="4"/>
  <c r="Y94" i="4"/>
  <c r="Y95" i="4" s="1"/>
  <c r="Z27" i="4"/>
  <c r="Y21" i="4"/>
  <c r="Y39" i="4"/>
  <c r="Z21" i="4"/>
  <c r="Y15" i="4"/>
  <c r="Y63" i="4"/>
  <c r="Y58" i="4"/>
  <c r="AA13" i="10"/>
  <c r="I17" i="4"/>
  <c r="Y70" i="4"/>
  <c r="H13" i="10"/>
  <c r="E13" i="10"/>
  <c r="F13" i="10"/>
  <c r="C13" i="10"/>
  <c r="D13" i="10"/>
  <c r="B14" i="10"/>
  <c r="AA14" i="10" s="1"/>
  <c r="Z13" i="10"/>
  <c r="X13" i="10"/>
  <c r="Y13" i="10"/>
  <c r="V13" i="10"/>
  <c r="W13" i="10"/>
  <c r="T13" i="10"/>
  <c r="U13" i="10"/>
  <c r="R13" i="10"/>
  <c r="S13" i="10"/>
  <c r="M13" i="10"/>
  <c r="K13" i="10"/>
  <c r="Q13" i="10"/>
  <c r="L13" i="10"/>
  <c r="I13" i="10"/>
  <c r="J13" i="10"/>
  <c r="G13" i="10"/>
  <c r="Y10" i="4"/>
  <c r="Y88" i="4"/>
  <c r="Y82" i="4"/>
  <c r="Y46" i="4"/>
  <c r="Y77" i="4"/>
  <c r="Y35" i="4"/>
  <c r="Z17" i="4"/>
  <c r="Z11" i="4"/>
  <c r="I65" i="4"/>
  <c r="A12" i="3" l="1"/>
  <c r="M12" i="3" s="1"/>
  <c r="Q12" i="3" s="1"/>
  <c r="Z42" i="4" s="1"/>
  <c r="Z43" i="4" s="1"/>
  <c r="Z44" i="4" s="1"/>
  <c r="Z45" i="4" s="1"/>
  <c r="Z46" i="4" s="1"/>
  <c r="Z47" i="4" s="1"/>
  <c r="I28" i="4"/>
  <c r="I29" i="4" s="1"/>
  <c r="Z36" i="4"/>
  <c r="Z37" i="4" s="1"/>
  <c r="Z38" i="4" s="1"/>
  <c r="Z39" i="4" s="1"/>
  <c r="Z40" i="4" s="1"/>
  <c r="Z41" i="4" s="1"/>
  <c r="S11" i="3"/>
  <c r="C11" i="9" s="1"/>
  <c r="R11" i="3"/>
  <c r="E11" i="9" s="1"/>
  <c r="Y28" i="4"/>
  <c r="Z28" i="4"/>
  <c r="Z22" i="4"/>
  <c r="Y64" i="4"/>
  <c r="Y16" i="4"/>
  <c r="Y40" i="4"/>
  <c r="Y22" i="4"/>
  <c r="Z35" i="4"/>
  <c r="D14" i="10"/>
  <c r="B15" i="10"/>
  <c r="Z14" i="10"/>
  <c r="X14" i="10"/>
  <c r="Y14" i="10"/>
  <c r="V14" i="10"/>
  <c r="W14" i="10"/>
  <c r="T14" i="10"/>
  <c r="U14" i="10"/>
  <c r="R14" i="10"/>
  <c r="S14" i="10"/>
  <c r="M14" i="10"/>
  <c r="J14" i="10"/>
  <c r="Q14" i="10"/>
  <c r="K14" i="10"/>
  <c r="G14" i="10"/>
  <c r="L14" i="10"/>
  <c r="I14" i="10"/>
  <c r="H14" i="10"/>
  <c r="E14" i="10"/>
  <c r="F14" i="10"/>
  <c r="C14" i="10"/>
  <c r="Y11" i="4"/>
  <c r="Y59" i="4"/>
  <c r="Y71" i="4"/>
  <c r="Y47" i="4"/>
  <c r="Y83" i="4"/>
  <c r="Y89" i="4"/>
  <c r="Y7" i="3"/>
  <c r="Y6" i="3"/>
  <c r="A13" i="3"/>
  <c r="M13" i="3" s="1"/>
  <c r="Q13" i="3" s="1"/>
  <c r="P12" i="3" l="1"/>
  <c r="S12" i="3" s="1"/>
  <c r="C12" i="9" s="1"/>
  <c r="P13" i="3"/>
  <c r="Z48" i="4"/>
  <c r="Z49" i="4" s="1"/>
  <c r="Z50" i="4" s="1"/>
  <c r="Z51" i="4" s="1"/>
  <c r="Z52" i="4" s="1"/>
  <c r="Z53" i="4" s="1"/>
  <c r="Y29" i="4"/>
  <c r="Z29" i="4"/>
  <c r="Y23" i="4"/>
  <c r="Y65" i="4"/>
  <c r="Y41" i="4"/>
  <c r="Z23" i="4"/>
  <c r="Y17" i="4"/>
  <c r="H15" i="10"/>
  <c r="R15" i="10"/>
  <c r="F15" i="10"/>
  <c r="M15" i="10"/>
  <c r="Y15" i="10"/>
  <c r="K15" i="10"/>
  <c r="I15" i="10"/>
  <c r="W15" i="10"/>
  <c r="U15" i="10"/>
  <c r="G15" i="10"/>
  <c r="D15" i="10"/>
  <c r="V15" i="10"/>
  <c r="S15" i="10"/>
  <c r="E15" i="10"/>
  <c r="Q15" i="10"/>
  <c r="C15" i="10"/>
  <c r="J15" i="10"/>
  <c r="B16" i="10"/>
  <c r="Z15" i="10"/>
  <c r="X15" i="10"/>
  <c r="L15" i="10"/>
  <c r="T15" i="10"/>
  <c r="AA15" i="10"/>
  <c r="W6" i="3"/>
  <c r="X6" i="3"/>
  <c r="U6" i="3"/>
  <c r="X7" i="3"/>
  <c r="U7" i="3"/>
  <c r="A14" i="3"/>
  <c r="M14" i="3" s="1"/>
  <c r="Q14" i="3" s="1"/>
  <c r="R12" i="3" l="1"/>
  <c r="E12" i="9" s="1"/>
  <c r="P14" i="3"/>
  <c r="Z54" i="4"/>
  <c r="Z55" i="4" s="1"/>
  <c r="Z56" i="4" s="1"/>
  <c r="Z57" i="4" s="1"/>
  <c r="Z58" i="4" s="1"/>
  <c r="Z59" i="4" s="1"/>
  <c r="R13" i="3"/>
  <c r="E13" i="9" s="1"/>
  <c r="S13" i="3"/>
  <c r="C13" i="9" s="1"/>
  <c r="W7" i="3"/>
  <c r="Y8" i="3"/>
  <c r="W8" i="3"/>
  <c r="V6" i="3"/>
  <c r="Z6" i="3" s="1"/>
  <c r="F6" i="9" s="1"/>
  <c r="T6" i="3"/>
  <c r="R16" i="10"/>
  <c r="L16" i="10"/>
  <c r="M16" i="10"/>
  <c r="Y16" i="10"/>
  <c r="I16" i="10"/>
  <c r="W16" i="10"/>
  <c r="G16" i="10"/>
  <c r="U16" i="10"/>
  <c r="E16" i="10"/>
  <c r="S16" i="10"/>
  <c r="H16" i="10"/>
  <c r="Q16" i="10"/>
  <c r="F16" i="10"/>
  <c r="K16" i="10"/>
  <c r="C16" i="10"/>
  <c r="D16" i="10"/>
  <c r="Z16" i="10"/>
  <c r="J16" i="10"/>
  <c r="X16" i="10"/>
  <c r="V16" i="10"/>
  <c r="T16" i="10"/>
  <c r="AA16" i="10"/>
  <c r="A15" i="3"/>
  <c r="M15" i="3" s="1"/>
  <c r="Q15" i="3" s="1"/>
  <c r="P15" i="3" l="1"/>
  <c r="Z60" i="4"/>
  <c r="Z61" i="4" s="1"/>
  <c r="Z62" i="4" s="1"/>
  <c r="Z63" i="4" s="1"/>
  <c r="Z64" i="4" s="1"/>
  <c r="Z65" i="4" s="1"/>
  <c r="R14" i="3"/>
  <c r="E14" i="9" s="1"/>
  <c r="S14" i="3"/>
  <c r="C14" i="9" s="1"/>
  <c r="AA6" i="3"/>
  <c r="D6" i="9" s="1"/>
  <c r="T8" i="3"/>
  <c r="V8" i="3"/>
  <c r="U8" i="3"/>
  <c r="X8" i="3"/>
  <c r="T7" i="3"/>
  <c r="V7" i="3"/>
  <c r="Y9" i="3"/>
  <c r="A16" i="3"/>
  <c r="M16" i="3" l="1"/>
  <c r="R15" i="3"/>
  <c r="E15" i="9" s="1"/>
  <c r="S15" i="3"/>
  <c r="C15" i="9" s="1"/>
  <c r="AA8" i="3"/>
  <c r="D8" i="9" s="1"/>
  <c r="AA7" i="3"/>
  <c r="D7" i="9" s="1"/>
  <c r="Z7" i="3"/>
  <c r="F7" i="9" s="1"/>
  <c r="Z8" i="3"/>
  <c r="F8" i="9" s="1"/>
  <c r="U9" i="3"/>
  <c r="X9" i="3"/>
  <c r="A17" i="3"/>
  <c r="M17" i="3" s="1"/>
  <c r="Q17" i="3" s="1"/>
  <c r="B6" i="10" l="1"/>
  <c r="P17" i="3"/>
  <c r="Z72" i="4"/>
  <c r="Z73" i="4" s="1"/>
  <c r="Z74" i="4" s="1"/>
  <c r="Z75" i="4" s="1"/>
  <c r="Z76" i="4" s="1"/>
  <c r="Z77" i="4" s="1"/>
  <c r="Q16" i="3"/>
  <c r="N6" i="10"/>
  <c r="W9" i="3"/>
  <c r="A18" i="3"/>
  <c r="M18" i="3" s="1"/>
  <c r="Q18" i="3" s="1"/>
  <c r="P18" i="3" l="1"/>
  <c r="Z78" i="4"/>
  <c r="Z79" i="4" s="1"/>
  <c r="Z80" i="4" s="1"/>
  <c r="Z81" i="4" s="1"/>
  <c r="Z82" i="4" s="1"/>
  <c r="Z83" i="4" s="1"/>
  <c r="T6" i="10"/>
  <c r="P16" i="3"/>
  <c r="Z66" i="4"/>
  <c r="S17" i="3"/>
  <c r="R17" i="3"/>
  <c r="T9" i="3"/>
  <c r="V9" i="3"/>
  <c r="A19" i="3"/>
  <c r="M19" i="3" s="1"/>
  <c r="Q19" i="3" s="1"/>
  <c r="E17" i="9" l="1"/>
  <c r="U6" i="10"/>
  <c r="C17" i="9"/>
  <c r="V6" i="10"/>
  <c r="P19" i="3"/>
  <c r="Z84" i="4"/>
  <c r="Z85" i="4" s="1"/>
  <c r="Z86" i="4" s="1"/>
  <c r="Z87" i="4" s="1"/>
  <c r="Z88" i="4" s="1"/>
  <c r="Z89" i="4" s="1"/>
  <c r="AB11" i="10"/>
  <c r="Z67" i="4"/>
  <c r="S6" i="10"/>
  <c r="R16" i="3"/>
  <c r="E16" i="9" s="1"/>
  <c r="S16" i="3"/>
  <c r="S18" i="3"/>
  <c r="C18" i="9" s="1"/>
  <c r="R18" i="3"/>
  <c r="E18" i="9" s="1"/>
  <c r="AA9" i="3"/>
  <c r="D9" i="9" s="1"/>
  <c r="Z9" i="3"/>
  <c r="F9" i="9" s="1"/>
  <c r="A20" i="3"/>
  <c r="M20" i="3" s="1"/>
  <c r="Q20" i="3" s="1"/>
  <c r="P20" i="3" l="1"/>
  <c r="Z90" i="4"/>
  <c r="Z91" i="4" s="1"/>
  <c r="Z92" i="4" s="1"/>
  <c r="Z93" i="4" s="1"/>
  <c r="Z94" i="4" s="1"/>
  <c r="Z95" i="4" s="1"/>
  <c r="C16" i="9"/>
  <c r="AB12" i="10"/>
  <c r="Z68" i="4"/>
  <c r="R19" i="3"/>
  <c r="E19" i="9" s="1"/>
  <c r="S19" i="3"/>
  <c r="C19" i="9" s="1"/>
  <c r="A21" i="3"/>
  <c r="M21" i="3" s="1"/>
  <c r="Q21" i="3" s="1"/>
  <c r="Z69" i="4" l="1"/>
  <c r="AB13" i="10"/>
  <c r="P21" i="3"/>
  <c r="Z96" i="4"/>
  <c r="Z97" i="4" s="1"/>
  <c r="Z98" i="4" s="1"/>
  <c r="Z99" i="4" s="1"/>
  <c r="Z100" i="4" s="1"/>
  <c r="Z101" i="4" s="1"/>
  <c r="S20" i="3"/>
  <c r="C20" i="9" s="1"/>
  <c r="R20" i="3"/>
  <c r="E20" i="9" s="1"/>
  <c r="Y10" i="3"/>
  <c r="R21" i="3" l="1"/>
  <c r="E21" i="9" s="1"/>
  <c r="S21" i="3"/>
  <c r="C21" i="9" s="1"/>
  <c r="AB14" i="10"/>
  <c r="Z70" i="4"/>
  <c r="U10" i="3"/>
  <c r="X10" i="3"/>
  <c r="AB15" i="10" l="1"/>
  <c r="Z71" i="4"/>
  <c r="AB16" i="10" s="1"/>
  <c r="W10" i="3"/>
  <c r="V10" i="3" l="1"/>
  <c r="T10" i="3"/>
  <c r="AA10" i="3" l="1"/>
  <c r="D10" i="9" s="1"/>
  <c r="Z10" i="3"/>
  <c r="F10" i="9" s="1"/>
  <c r="Y11" i="3" l="1"/>
  <c r="U11" i="3" l="1"/>
  <c r="X11" i="3"/>
  <c r="W11" i="3" l="1"/>
  <c r="T11" i="3" l="1"/>
  <c r="V11" i="3"/>
  <c r="Z11" i="3" l="1"/>
  <c r="F11" i="9" s="1"/>
  <c r="AA11" i="3"/>
  <c r="D11" i="9" s="1"/>
  <c r="Y12" i="3" l="1"/>
  <c r="U12" i="3" l="1"/>
  <c r="X12" i="3"/>
  <c r="W12" i="3" l="1"/>
  <c r="T12" i="3" l="1"/>
  <c r="V12" i="3"/>
  <c r="AA12" i="3" l="1"/>
  <c r="D12" i="9" s="1"/>
  <c r="Z12" i="3"/>
  <c r="F12" i="9" s="1"/>
  <c r="Y13" i="3" l="1"/>
  <c r="U13" i="3" l="1"/>
  <c r="X13" i="3"/>
  <c r="W13" i="3" l="1"/>
  <c r="V13" i="3" l="1"/>
  <c r="T13" i="3"/>
  <c r="AA13" i="3" l="1"/>
  <c r="D13" i="9" s="1"/>
  <c r="Z13" i="3"/>
  <c r="F13" i="9" s="1"/>
  <c r="Y14" i="3" l="1"/>
  <c r="X14" i="3" l="1"/>
  <c r="U14" i="3"/>
  <c r="W14" i="3" l="1"/>
  <c r="V14" i="3" l="1"/>
  <c r="T14" i="3"/>
  <c r="AA14" i="3" l="1"/>
  <c r="D14" i="9" s="1"/>
  <c r="Z14" i="3"/>
  <c r="F14" i="9" s="1"/>
  <c r="Y15" i="3" l="1"/>
  <c r="X15" i="3" l="1"/>
  <c r="U15" i="3"/>
  <c r="W15" i="3" l="1"/>
  <c r="V15" i="3" l="1"/>
  <c r="T15" i="3"/>
  <c r="Z15" i="3" l="1"/>
  <c r="F15" i="9" s="1"/>
  <c r="AA15" i="3"/>
  <c r="D15" i="9" s="1"/>
  <c r="Y16" i="3" l="1"/>
  <c r="X16" i="3" l="1"/>
  <c r="U16" i="3"/>
  <c r="W16" i="3" l="1"/>
  <c r="V16" i="3" l="1"/>
  <c r="T16" i="3"/>
  <c r="AA16" i="3" l="1"/>
  <c r="Z16" i="3"/>
  <c r="F16" i="9" s="1"/>
  <c r="D16" i="9" l="1"/>
  <c r="Y17" i="3"/>
  <c r="AB6" i="10" l="1"/>
  <c r="X17" i="3"/>
  <c r="AA6" i="10" s="1"/>
  <c r="U17" i="3"/>
  <c r="X6" i="10" s="1"/>
  <c r="W17" i="3" l="1"/>
  <c r="Z6" i="10" s="1"/>
  <c r="V17" i="3" l="1"/>
  <c r="T17" i="3"/>
  <c r="W6" i="10" s="1"/>
  <c r="Y6" i="10" l="1"/>
  <c r="Z17" i="3"/>
  <c r="AA17" i="3"/>
  <c r="D17" i="9" l="1"/>
  <c r="AD6" i="10"/>
  <c r="F17" i="9"/>
  <c r="AC6" i="10"/>
  <c r="Y18" i="3"/>
  <c r="X18" i="3" l="1"/>
  <c r="U18" i="3"/>
  <c r="W18" i="3" l="1"/>
  <c r="V18" i="3" l="1"/>
  <c r="T18" i="3"/>
  <c r="Z18" i="3" l="1"/>
  <c r="F18" i="9" s="1"/>
  <c r="AA18" i="3"/>
  <c r="D18" i="9" s="1"/>
  <c r="Y19" i="3" l="1"/>
  <c r="U19" i="3" l="1"/>
  <c r="X19" i="3"/>
  <c r="W19" i="3" l="1"/>
  <c r="T19" i="3" l="1"/>
  <c r="V19" i="3"/>
  <c r="AA19" i="3" l="1"/>
  <c r="D19" i="9" s="1"/>
  <c r="Z19" i="3"/>
  <c r="F19" i="9" s="1"/>
  <c r="Y20" i="3" l="1"/>
  <c r="X20" i="3" l="1"/>
  <c r="U20" i="3"/>
  <c r="W20" i="3" l="1"/>
  <c r="T20" i="3" l="1"/>
  <c r="V20" i="3"/>
  <c r="AA20" i="3" l="1"/>
  <c r="D20" i="9" s="1"/>
  <c r="Z20" i="3"/>
  <c r="F20" i="9" s="1"/>
  <c r="Y21" i="3" l="1"/>
  <c r="X21" i="3" l="1"/>
  <c r="U21" i="3"/>
  <c r="W21" i="3" l="1"/>
  <c r="T21" i="3" l="1"/>
  <c r="V21" i="3"/>
  <c r="Z21" i="3" l="1"/>
  <c r="F21" i="9" s="1"/>
  <c r="AA21" i="3"/>
  <c r="D2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tc={268FCA91-1068-43E2-9565-1A23076C7EC2}</author>
  </authors>
  <commentList>
    <comment ref="K17" authorId="0" shapeId="0" xr:uid="{268FCA91-1068-43E2-9565-1A23076C7EC2}">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número: Yanet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<sst xmlns="http://schemas.openxmlformats.org/spreadsheetml/2006/main" count="1646" uniqueCount="722">
  <si>
    <t>Frecuencia de la actividad (veces por año)</t>
  </si>
  <si>
    <t>Probabilidad</t>
  </si>
  <si>
    <t>Tablas de atributos de para el diseño del control</t>
  </si>
  <si>
    <t>La actividad que conlleva el riesgo se ejecuta…</t>
  </si>
  <si>
    <t>Cuantitativa</t>
  </si>
  <si>
    <t>Cualitativa</t>
  </si>
  <si>
    <t>Mínimo</t>
  </si>
  <si>
    <t>Máximo</t>
  </si>
  <si>
    <t>Atributos de eficiencia</t>
  </si>
  <si>
    <t>Muy Baja</t>
  </si>
  <si>
    <t>Ejecución</t>
  </si>
  <si>
    <t>Tipología</t>
  </si>
  <si>
    <t>Descripción</t>
  </si>
  <si>
    <t>Peso</t>
  </si>
  <si>
    <t>Efecto</t>
  </si>
  <si>
    <t>Baja</t>
  </si>
  <si>
    <t>Momento de ejecución</t>
  </si>
  <si>
    <t>Preventivo</t>
  </si>
  <si>
    <t>Va hacia las causas del riesgo, aseguran el resultado final esperado.</t>
  </si>
  <si>
    <t>Media</t>
  </si>
  <si>
    <t>Detectivo</t>
  </si>
  <si>
    <t>Detecta que algo ocurre y devuelve el proceso a los controles preventivos. Se pueden generar reprocesos.</t>
  </si>
  <si>
    <t>Alta</t>
  </si>
  <si>
    <t>Correctivo</t>
  </si>
  <si>
    <t>Dado que permiten reducir el impacto de la materialización del riesgo, tienen un costo en su implementación.</t>
  </si>
  <si>
    <t>Impacto</t>
  </si>
  <si>
    <t>Muy Alta</t>
  </si>
  <si>
    <t>Forma de ejecución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</si>
  <si>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</si>
  <si>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</si>
  <si>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</si>
  <si>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</si>
  <si>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Consecuencias</t>
  </si>
  <si>
    <t>Número de consecuencias que conlleva el riesgo 
(ver tabla inferior)</t>
  </si>
  <si>
    <t>Cuantitativo</t>
  </si>
  <si>
    <t>Cualitativo</t>
  </si>
  <si>
    <t>Momento</t>
  </si>
  <si>
    <t>Forma</t>
  </si>
  <si>
    <t>Atributos</t>
  </si>
  <si>
    <t>Peso total</t>
  </si>
  <si>
    <t>Moderado</t>
  </si>
  <si>
    <t>Mayor</t>
  </si>
  <si>
    <t>Catastrófico</t>
  </si>
  <si>
    <t>CONSECUENCIAS DEL RIESGO DE CORRUPCIÓN</t>
  </si>
  <si>
    <t>CATEGORÍA</t>
  </si>
  <si>
    <t>Incumplimiento</t>
  </si>
  <si>
    <t>Daños o pérdidas</t>
  </si>
  <si>
    <t>Intervenciones o sanciones</t>
  </si>
  <si>
    <t>Afecta la reputación</t>
  </si>
  <si>
    <t>CONSECUENCIA</t>
  </si>
  <si>
    <t>Grupo de trabajo o proceso</t>
  </si>
  <si>
    <t>Recursos económicos</t>
  </si>
  <si>
    <t>Intervención organismo de control</t>
  </si>
  <si>
    <t>Institucional</t>
  </si>
  <si>
    <t>Metas u objetivos</t>
  </si>
  <si>
    <t>Calidad de vida comunidad</t>
  </si>
  <si>
    <t>Sanciones</t>
  </si>
  <si>
    <t>Sectorial</t>
  </si>
  <si>
    <t>Misión institucional</t>
  </si>
  <si>
    <t>Información</t>
  </si>
  <si>
    <t>Procesos disciplinarios</t>
  </si>
  <si>
    <t>Regional</t>
  </si>
  <si>
    <t>Misión del sector</t>
  </si>
  <si>
    <t>Vidas humanas</t>
  </si>
  <si>
    <t>Procesos fiscales</t>
  </si>
  <si>
    <t>Nacional</t>
  </si>
  <si>
    <t>Productos o servicios</t>
  </si>
  <si>
    <t>Medio ambiente</t>
  </si>
  <si>
    <t>Procesos penales</t>
  </si>
  <si>
    <t>Internacional</t>
  </si>
  <si>
    <t>Concatenado</t>
  </si>
  <si>
    <t>Nivel de Severidad</t>
  </si>
  <si>
    <t>Posición Severidad</t>
  </si>
  <si>
    <t>Muy AltaCatastrófico</t>
  </si>
  <si>
    <t>Extremo</t>
  </si>
  <si>
    <t>AltaCatastrófico</t>
  </si>
  <si>
    <t>MediaCatastrófico</t>
  </si>
  <si>
    <t>BajaCatastrófico</t>
  </si>
  <si>
    <t>Muy BajaCatastrófico</t>
  </si>
  <si>
    <t>Muy AltaMayor</t>
  </si>
  <si>
    <t>Alto</t>
  </si>
  <si>
    <t>AltaMayor</t>
  </si>
  <si>
    <t>Muy AltaModerado</t>
  </si>
  <si>
    <t>MediaMayor</t>
  </si>
  <si>
    <t>BajaMayor</t>
  </si>
  <si>
    <t>AltaModerado</t>
  </si>
  <si>
    <t>Muy BajaMayor</t>
  </si>
  <si>
    <t>MediaModerado</t>
  </si>
  <si>
    <t>BajaModerado</t>
  </si>
  <si>
    <t>Muy BajaModerado</t>
  </si>
  <si>
    <t>Priorización de las combinaciones</t>
  </si>
  <si>
    <t>MUY ALTA</t>
  </si>
  <si>
    <t>ALTA</t>
  </si>
  <si>
    <t>MEDIA</t>
  </si>
  <si>
    <t>BAJA</t>
  </si>
  <si>
    <t>MUY BAJA</t>
  </si>
  <si>
    <t>MODERADO</t>
  </si>
  <si>
    <t>MAYOR</t>
  </si>
  <si>
    <t>CATASTRÓFICO</t>
  </si>
  <si>
    <t>Producto de  multiplicar probabilidad e impacto</t>
  </si>
  <si>
    <t>Atributos informativos</t>
  </si>
  <si>
    <t>Características</t>
  </si>
  <si>
    <t>Opciones</t>
  </si>
  <si>
    <t>Diligenciamiento</t>
  </si>
  <si>
    <t>Documentación</t>
  </si>
  <si>
    <t>Controles que están documentados en el proceso, ya sea en manuales, procedimientos, flujogramas o cualquier otro documento propio del proceso.</t>
  </si>
  <si>
    <t>Documentado</t>
  </si>
  <si>
    <t>Código del documento en el SIG</t>
  </si>
  <si>
    <t>Identifica a los controles que pese a que se ejecutan en el proceso no se encuentran documentados en ningún documento propio del proceso</t>
  </si>
  <si>
    <t>Sin documentar</t>
  </si>
  <si>
    <t>Frecuencia</t>
  </si>
  <si>
    <t>Este atributo identifica a los controles que se ejecutan siempre que se realiza la actividad originadora del riesgo.</t>
  </si>
  <si>
    <t>Continua</t>
  </si>
  <si>
    <t>Frecuencia específica o indeterminada</t>
  </si>
  <si>
    <t>Este atributo identifica a los controles que no siempre se ejecutan cuando se realiza la actividad originadora del riesgo</t>
  </si>
  <si>
    <t>Indefinida</t>
  </si>
  <si>
    <t>Evidencia</t>
  </si>
  <si>
    <t>El control deja un registro que permite evidenciar la ejecución del control</t>
  </si>
  <si>
    <t>Con registro</t>
  </si>
  <si>
    <t>Código de la serie documental</t>
  </si>
  <si>
    <t>El control no deja registro de la ejecución del control</t>
  </si>
  <si>
    <t>Sin registro</t>
  </si>
  <si>
    <t>Min</t>
  </si>
  <si>
    <t>Max</t>
  </si>
  <si>
    <t>Nivel de SEVERIDAD</t>
  </si>
  <si>
    <t>ALTO</t>
  </si>
  <si>
    <t>EXTREMO</t>
  </si>
  <si>
    <t>Procesos</t>
  </si>
  <si>
    <t>Direccionamiento estratégico</t>
  </si>
  <si>
    <t>Diaria</t>
  </si>
  <si>
    <t>Mejoramiento continuo</t>
  </si>
  <si>
    <t>Semanal</t>
  </si>
  <si>
    <t>Gestión del talento humano</t>
  </si>
  <si>
    <t>Quincenal</t>
  </si>
  <si>
    <t>Formación</t>
  </si>
  <si>
    <t>Mensual</t>
  </si>
  <si>
    <t>Investigación</t>
  </si>
  <si>
    <t>Bimestral</t>
  </si>
  <si>
    <t>Apropiación social del conocimiento y del patrimonio</t>
  </si>
  <si>
    <t>Alianzas</t>
  </si>
  <si>
    <t>Información y comunicación</t>
  </si>
  <si>
    <t>Adquisiciones</t>
  </si>
  <si>
    <t>Gestión de bienes y servicios</t>
  </si>
  <si>
    <t>Contabilidad y presupuesto</t>
  </si>
  <si>
    <t>Evaluación independiente</t>
  </si>
  <si>
    <t>Control Disciplinario</t>
  </si>
  <si>
    <t>Factor</t>
  </si>
  <si>
    <t>Definición</t>
  </si>
  <si>
    <t>Descriptor</t>
  </si>
  <si>
    <t>1.1</t>
  </si>
  <si>
    <t xml:space="preserve">Eventos relacionados con errores en las actividades que deben realizar los servidores de la organización. </t>
  </si>
  <si>
    <t xml:space="preserve">Falta de implementación de procedimientos </t>
  </si>
  <si>
    <t>F_Procesos</t>
  </si>
  <si>
    <t>1.2</t>
  </si>
  <si>
    <t xml:space="preserve">Errores de grabación, autorización </t>
  </si>
  <si>
    <t>F_Talento_Humano</t>
  </si>
  <si>
    <t>1.3</t>
  </si>
  <si>
    <t xml:space="preserve">Errores en cálculos para pagos internos y externos </t>
  </si>
  <si>
    <t>F_Tecnología</t>
  </si>
  <si>
    <t>1.4</t>
  </si>
  <si>
    <t>Falta de capacitación, temas relacionados con el personal</t>
  </si>
  <si>
    <t>F_Infraestructura</t>
  </si>
  <si>
    <t>2.1</t>
  </si>
  <si>
    <t xml:space="preserve">Talento humano </t>
  </si>
  <si>
    <t>Incluye seguridad y salud en el trabajo. Se analiza posible dolo e intención frente a la corrupción.</t>
  </si>
  <si>
    <t>Hurto activos</t>
  </si>
  <si>
    <t>F_Evento_Externo</t>
  </si>
  <si>
    <t>2.2</t>
  </si>
  <si>
    <t>Comportamientos no éticos de los empleados</t>
  </si>
  <si>
    <t>2.3</t>
  </si>
  <si>
    <t>Fraude interno (corrupción, soborno)</t>
  </si>
  <si>
    <t>3.1</t>
  </si>
  <si>
    <t xml:space="preserve">Tecnología </t>
  </si>
  <si>
    <t xml:space="preserve">Eventos relacionados con la infraestructura tecnológica de la entidad. </t>
  </si>
  <si>
    <t>Daño de equipos</t>
  </si>
  <si>
    <t>3.2</t>
  </si>
  <si>
    <t>Caída de aplicaciones</t>
  </si>
  <si>
    <t>3.3</t>
  </si>
  <si>
    <t>Caída de redes</t>
  </si>
  <si>
    <t>3.4</t>
  </si>
  <si>
    <t>Errores en programas</t>
  </si>
  <si>
    <t>4.1</t>
  </si>
  <si>
    <t>Infraestructura</t>
  </si>
  <si>
    <t xml:space="preserve">Eventos relacionados con la infraestructura física de la 
entidad. </t>
  </si>
  <si>
    <t>Derrumbes</t>
  </si>
  <si>
    <t>4.2</t>
  </si>
  <si>
    <t>Incendios</t>
  </si>
  <si>
    <t>4.3</t>
  </si>
  <si>
    <t>Inundaciones</t>
  </si>
  <si>
    <t>4.4</t>
  </si>
  <si>
    <t xml:space="preserve">Daños a activos fijos </t>
  </si>
  <si>
    <t>5.1</t>
  </si>
  <si>
    <t>Evento externo</t>
  </si>
  <si>
    <t xml:space="preserve">Situaciones externas que afectan la entidad. </t>
  </si>
  <si>
    <t xml:space="preserve">Suplantación de identidad </t>
  </si>
  <si>
    <t>5.2</t>
  </si>
  <si>
    <t>Asalto a la oficina</t>
  </si>
  <si>
    <t>5.3</t>
  </si>
  <si>
    <t xml:space="preserve">Atentados, vandalismo, orden público </t>
  </si>
  <si>
    <t>Categoría</t>
  </si>
  <si>
    <t>Tratamiento</t>
  </si>
  <si>
    <t>Daños a activos fijos / eventos externos</t>
  </si>
  <si>
    <t xml:space="preserve">Pérdida por daños o extravíos de los activos fijos por desastres naturales u otros riesgos/eventos externos como atentados, vandalismo, orden público. </t>
  </si>
  <si>
    <t>Aceptar</t>
  </si>
  <si>
    <t>Daños patrimonio 
público – omisión 
interna</t>
  </si>
  <si>
    <t xml:space="preserve">Pérdidas en las que se produce un deterioro del patrimonio público como resultado de omisiones internas, en este contexto, "omisión interna" hace referencia a la falta de acción, negligencia o incumplimiento de deberes por parte de servidores públicos que conduce a la pérdida de recursos o activos de la entidad. </t>
  </si>
  <si>
    <t>Evitar</t>
  </si>
  <si>
    <t xml:space="preserve">Ejecución y 
administración de 
procesos  </t>
  </si>
  <si>
    <t xml:space="preserve">Pérdidas derivadas de errores en la ejecución y administración de procesos. </t>
  </si>
  <si>
    <t>Reducir (compartir)</t>
  </si>
  <si>
    <t xml:space="preserve">Fallas tecnológicas  </t>
  </si>
  <si>
    <t xml:space="preserve">Errores en hardware, software, telecomunicaciones, interrupción de servicios básicos. </t>
  </si>
  <si>
    <t>Reducir (mitigar)</t>
  </si>
  <si>
    <t xml:space="preserve">Fraude externo  </t>
  </si>
  <si>
    <t xml:space="preserve">Pérdida derivada de actos de fraude por personas ajenas a la organización (no participa personal de la entidad).  </t>
  </si>
  <si>
    <t>Fraude interno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</si>
  <si>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</si>
  <si>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Relaciones laborales  </t>
  </si>
  <si>
    <t>Pérdidas que surgen de acciones contrarias a las leyes o acuerdos de empleo, salud o seguridad, del pago de demandas por daños personales o de discriminación.</t>
  </si>
  <si>
    <t>Usuarios, productos y prácticas</t>
  </si>
  <si>
    <t xml:space="preserve">Fallas negligentes o involuntarias de las obligaciones frente a los usuarios y que impiden satisfacer una obligación profesional frente a estos.  </t>
  </si>
  <si>
    <t>TIPO DILIGENCIAMIENTO</t>
  </si>
  <si>
    <t>MAPA RIESGO DE CORRUPCIÓN</t>
  </si>
  <si>
    <t>Manual (lista)</t>
  </si>
  <si>
    <t>1. IDENTIFICACIÓN DEL RIESGO</t>
  </si>
  <si>
    <t>2. ANÁLISIS DEL RIESGO INHERENTE</t>
  </si>
  <si>
    <t>3. DISEÑO Y ANÁLISIS DE CONTROLES</t>
  </si>
  <si>
    <t>4. EVALUACIÓN DEL RIESGO RESIDUAL</t>
  </si>
  <si>
    <t>Manual (abierto)</t>
  </si>
  <si>
    <t>1.1 Cualificación del riesgo</t>
  </si>
  <si>
    <t>1.2 Cuantificación del riesgo</t>
  </si>
  <si>
    <t>2.1 Análisis probabilidad</t>
  </si>
  <si>
    <t>2.2 Análisis impacto</t>
  </si>
  <si>
    <t>2.3 Análisis severidad</t>
  </si>
  <si>
    <t>3.4 Eficiencia teórica controles</t>
  </si>
  <si>
    <t>4.2 Riesgo residual</t>
  </si>
  <si>
    <t>ID_R</t>
  </si>
  <si>
    <t>Proceso</t>
  </si>
  <si>
    <t>Código Riesgo</t>
  </si>
  <si>
    <t>Factor riesgo</t>
  </si>
  <si>
    <t>Descriptor Factor</t>
  </si>
  <si>
    <t>Acción u omisión</t>
  </si>
  <si>
    <t>Beneficio privado</t>
  </si>
  <si>
    <t>Uso del poder</t>
  </si>
  <si>
    <t>Desviar gestión pública</t>
  </si>
  <si>
    <t>Descripción del riesgo</t>
  </si>
  <si>
    <t>Unidad de medida</t>
  </si>
  <si>
    <t>Probabilidad inherente</t>
  </si>
  <si>
    <t>Pi %</t>
  </si>
  <si>
    <t>Impacto inherente</t>
  </si>
  <si>
    <t>Ii %</t>
  </si>
  <si>
    <t>Severidad inherente</t>
  </si>
  <si>
    <t>Posición severidad i</t>
  </si>
  <si>
    <t>Eficiencia teórica probabilidad</t>
  </si>
  <si>
    <t>Eficiencia teórica impacto</t>
  </si>
  <si>
    <t>Probabilidad residual</t>
  </si>
  <si>
    <t>Pr %</t>
  </si>
  <si>
    <t>Impacto residual</t>
  </si>
  <si>
    <t>Ir %</t>
  </si>
  <si>
    <t>Severidad residual</t>
  </si>
  <si>
    <t>Posición severidad r</t>
  </si>
  <si>
    <t>ADQ-C1</t>
  </si>
  <si>
    <t>Posibilidad de recibir a satisfacción bienes o servicios</t>
  </si>
  <si>
    <t>que no cumplan con lo requerido contractualmente, dando visto bueno y recibo a satisfacción de los informes de entrega y para beneficio</t>
  </si>
  <si>
    <t>propio o de terceros</t>
  </si>
  <si>
    <t>con el fin de tramitar el acta de liquidación, pago parcial o final a un proponente específico, sin haber cumplido el objeto contractual, a cambio de una dádiva o beneficio privado</t>
  </si>
  <si>
    <t>* 120 informes mensuales de contratistas de prestación de servicios x 10 meses 
* 40 actas de liquidación de otras tipologías de contratos</t>
  </si>
  <si>
    <t>DIR-C1</t>
  </si>
  <si>
    <t>Posibilidad de tomar decisiones institucionales</t>
  </si>
  <si>
    <t>utilizando recursos públicos para beneficio</t>
  </si>
  <si>
    <t>propio o de un tercero</t>
  </si>
  <si>
    <t>desatendiendo el análisis de capacidades y entornos, definiendo metas inadecuadas para el ICC.</t>
  </si>
  <si>
    <t>* Plan Estratégico Institucional (PLEI): 
1: Una formulación
2: Dos revisiones
* Plan de Acción Institucional (PAI):
1: Una formulación
4: Cuatro revisiones trimestrales</t>
  </si>
  <si>
    <t>DIR-C2</t>
  </si>
  <si>
    <t xml:space="preserve">Posibilidad de omitir o efectuar acciones en procesos judiciales o administrativos </t>
  </si>
  <si>
    <t>afectando intereses de la entidad para beneficio</t>
  </si>
  <si>
    <t xml:space="preserve">ejecutando actividades inadecuadas para la defensa de la entidad </t>
  </si>
  <si>
    <t>Procesos judiciales</t>
  </si>
  <si>
    <t>COM-C1</t>
  </si>
  <si>
    <t>Posibilidad de comunicar información falsa</t>
  </si>
  <si>
    <t>ocultando o adulterando datos</t>
  </si>
  <si>
    <t>en beneficio propio o de un tercero</t>
  </si>
  <si>
    <t>retardando o eliminando información, impidiendo mostrar la realidad institucional a los públicos de interés internos y externos</t>
  </si>
  <si>
    <t xml:space="preserve">Número de líneas de información a publicar en el espacio de transparencia según el esquema de publicaciones </t>
  </si>
  <si>
    <t>FOR-C1</t>
  </si>
  <si>
    <t>Posibilidad de recibir dádivas</t>
  </si>
  <si>
    <t>para ajustar notas de estudiantes</t>
  </si>
  <si>
    <t>por parte del docente</t>
  </si>
  <si>
    <t>omitiendo la evaluación objetiva</t>
  </si>
  <si>
    <t xml:space="preserve">Estudiantes </t>
  </si>
  <si>
    <t>DISC-C1</t>
  </si>
  <si>
    <t>Posibilidad de recibir o solicitar</t>
  </si>
  <si>
    <t>cualquier dádiva o beneficio</t>
  </si>
  <si>
    <t>a nombre propio o de terceros</t>
  </si>
  <si>
    <t>con el fin de archivar o fallar de forma inexacta los procesos disciplinarios, ocultando u omitiendo información veraz</t>
  </si>
  <si>
    <t xml:space="preserve">Procesos disciplinarios </t>
  </si>
  <si>
    <t>ALI-C1</t>
  </si>
  <si>
    <t>con el fin de celebrar una alianza</t>
  </si>
  <si>
    <t>PRE-C1</t>
  </si>
  <si>
    <t>Posibilidad de omitir deducciones tributarias o de otro tipo,</t>
  </si>
  <si>
    <t>utilizando las herramientas y bases de datos oficiales</t>
  </si>
  <si>
    <t>a nombre propio</t>
  </si>
  <si>
    <t>con el fin de obtener una retribución económica</t>
  </si>
  <si>
    <t>Obligaciones</t>
  </si>
  <si>
    <t>PRE-C2</t>
  </si>
  <si>
    <t>Posibilidad de solicitar dádivas para tramitar pagos a personas jurídicas o naturales</t>
  </si>
  <si>
    <t>utilizando los documentos y sistemas de información institucionales</t>
  </si>
  <si>
    <t>Órdenes de pago</t>
  </si>
  <si>
    <t>PRE-C3</t>
  </si>
  <si>
    <t>Posibilidad del uso indebido de dinero en efectivo</t>
  </si>
  <si>
    <t>desviando recursos públicos a otros propósitos</t>
  </si>
  <si>
    <t>a nombre propio o de un tercero</t>
  </si>
  <si>
    <t>con el fin obtener un beneficio particular</t>
  </si>
  <si>
    <t>Consignaciones de dinero en efectivo en bancos (mínimo una semanal)</t>
  </si>
  <si>
    <t>APR-C1</t>
  </si>
  <si>
    <t>Posibilidad de manifestar preferencia</t>
  </si>
  <si>
    <t>favoreciendo con la publicación de un contenido</t>
  </si>
  <si>
    <t>a un tercero</t>
  </si>
  <si>
    <t>sin aplicar criterios objetivos y meritocráticos</t>
  </si>
  <si>
    <t>Publicaciones impresas y digitales</t>
  </si>
  <si>
    <t>ADM-C1</t>
  </si>
  <si>
    <t>Posibilidad de sustraer los insumos, productos y bienes almacenados en la bodegas institucionales</t>
  </si>
  <si>
    <t>afectando la capacidad para cumplir los objetivos de la entidad</t>
  </si>
  <si>
    <t>con el fin de desviar el uso de los recursos para otros propósitos</t>
  </si>
  <si>
    <t xml:space="preserve">Insumos, productos y bienes </t>
  </si>
  <si>
    <t>FOR-C2</t>
  </si>
  <si>
    <t>Posibilidad de plagio y violación de derechos de autor</t>
  </si>
  <si>
    <t>apropiando información, palabras o cualquier forma de expresión de otra persona</t>
  </si>
  <si>
    <t>con el fin de finalizar los trabajos de grado, sin darle el crédito correspondiente al autor</t>
  </si>
  <si>
    <t>Estudiantes graduados</t>
  </si>
  <si>
    <t>APR-C2</t>
  </si>
  <si>
    <t>Posibilidad de extraer insumos, objetos, materiales bibliográficos, archivísticos, manuscritos históricos, documentos originales, fotografías, grabaciones, entre otros,</t>
  </si>
  <si>
    <t>sustrayendo los elementos con valor patrimonial</t>
  </si>
  <si>
    <t>con el fin de desviar el uso de los recursos para otros propósitos u obtener retribución económica</t>
  </si>
  <si>
    <t>Bienes patrimoniales bibliográficos</t>
  </si>
  <si>
    <t>ADQ-C2</t>
  </si>
  <si>
    <t>Posibilidad de direccionar un proceso contractual</t>
  </si>
  <si>
    <t>utilizando información privilegiada para beneficio</t>
  </si>
  <si>
    <t>con el fin de adjudicar las adquisiciones a proponentes específicos</t>
  </si>
  <si>
    <t>Contratos adjudicados en procesos de selección diferentes a los adelantados a través de la modalidad de contratación directa</t>
  </si>
  <si>
    <t>APR-C3</t>
  </si>
  <si>
    <t>con el fin de publicar obras o productos de investigación sin dar el crédito correspondiente al autor o a la institución</t>
  </si>
  <si>
    <t>MAPA CONTROL CORRUPCIÓN</t>
  </si>
  <si>
    <t>5. ESTRATEGIAS PARA ADMINISTRACIÓN DEL RIESGO</t>
  </si>
  <si>
    <t>1.3 Análisis de consecuencias</t>
  </si>
  <si>
    <t>1.4 Despliegue causa raíz</t>
  </si>
  <si>
    <t>3.1 Descriptores del control</t>
  </si>
  <si>
    <t>3.2 Atributos de eficiencia</t>
  </si>
  <si>
    <t>3.3 Atributos informativos</t>
  </si>
  <si>
    <t>5.1 Estrategias a desarrollar con el plan de reducción</t>
  </si>
  <si>
    <t>4.1 Efecto de los controles sobre el riesgo</t>
  </si>
  <si>
    <t>ID_C</t>
  </si>
  <si>
    <t>Código riesgo</t>
  </si>
  <si>
    <t>Reputación</t>
  </si>
  <si>
    <t>Causas</t>
  </si>
  <si>
    <t>Código control</t>
  </si>
  <si>
    <t>Responsable de ejecutar</t>
  </si>
  <si>
    <t>Acción de control</t>
  </si>
  <si>
    <t>Complemento</t>
  </si>
  <si>
    <t>Actividad fortalecimiento</t>
  </si>
  <si>
    <t>Responsable estrategia</t>
  </si>
  <si>
    <t>Fecha inicio</t>
  </si>
  <si>
    <t>Fecha fin</t>
  </si>
  <si>
    <t>Cambio P %</t>
  </si>
  <si>
    <t>Cambio I %</t>
  </si>
  <si>
    <t>Intervención organismos</t>
  </si>
  <si>
    <t>Falta de verificación y control de las condiciones técnicas exigidas a los bienes y servicios</t>
  </si>
  <si>
    <t>Supervisores</t>
  </si>
  <si>
    <t>Verificar el cumplimiento del objeto contractual mediante el recibo a safisfacción de los bienes y servicios suministrados</t>
  </si>
  <si>
    <t>a través del informe de supervisión o certificación de cumplimiento para la gestión del pago y la suscripción del acta de liquidación (en los casos que se requiera) por parte del contratista y del ordenador del gasto</t>
  </si>
  <si>
    <t>TRD del Grupo de Gestión Contractual teniendo en cuenta la tipología contractual</t>
  </si>
  <si>
    <t>Coordinador Grupo de Gestión Contractual</t>
  </si>
  <si>
    <t>Incumpliento de los requerimientos contractuales.</t>
  </si>
  <si>
    <t>Subdirector administrativo y financiero con apoyo del profesional especializado de Control Interno Disciplinario</t>
  </si>
  <si>
    <t>Iniciar la instrucción del proceso disciplinario y en el caso de que el proceso vaya a otra instancia por medio de un pliego de cargos, se remite a la Procuraduría General de la Nación (PGN)</t>
  </si>
  <si>
    <t>a través de documento oficial institucional.</t>
  </si>
  <si>
    <t>DIS-P-1 Etapas de indagación previa e investigación disciplinaria</t>
  </si>
  <si>
    <t>300.18.10 Procesos disciplinarios</t>
  </si>
  <si>
    <t>N/A</t>
  </si>
  <si>
    <t>Falta de metodologías institucionales efectivas y actualizadas para formulación y seguimiento de planes institucionales.</t>
  </si>
  <si>
    <t>Profesional Universitario del Grupo de Planeación y Relacionamiento con el Ciudadano</t>
  </si>
  <si>
    <t>Validar que la información proyectada en los planes institucionales corresponda al análisis de capacidades y entornos</t>
  </si>
  <si>
    <t>a través de la revisión de la formulación de planes instucionales y sus respectivos versionamientos</t>
  </si>
  <si>
    <t>DIR-P-3 Formulación, ajustes y seguimiento al Plan de Acción Instituciona y DIR-P-10 Formulación, monitoreo y seguimiento al Plan Estratégico Institucional (PLEI)</t>
  </si>
  <si>
    <t>Trimestral</t>
  </si>
  <si>
    <t>100.101.17.04_PAI y 100.101.17.10_PLEI</t>
  </si>
  <si>
    <r>
      <t xml:space="preserve">Crear, articular al SIG y socializar la </t>
    </r>
    <r>
      <rPr>
        <i/>
        <sz val="11"/>
        <rFont val="Arial Narrow"/>
        <family val="2"/>
      </rPr>
      <t>Guía metodológica para el seguimiento y reporte de información institucional</t>
    </r>
  </si>
  <si>
    <t>Profesional especializado - Coordinador y  Profesional universitario del Grupo de Planeación y Relacionamiento con el Ciudadano</t>
  </si>
  <si>
    <t>Profesional especializado - Coordinador del Grupo de Planeación y Relacionamiento con el Ciudadano</t>
  </si>
  <si>
    <t>Revisar que las evidencias de avance de los indicadores estratégicos sean claras y verificables</t>
  </si>
  <si>
    <t>mediante la presentación de informes periódicos a la Alta Dirección que permitan evaluar si la entidad está en capacidad de cumplir metas y planes trazados y facilitar así la toma de desiciones.</t>
  </si>
  <si>
    <t>DIR-P-10 Formulación, monitoreo y seguimiento al Plan Estratégico Institucional</t>
  </si>
  <si>
    <t>100.101.17.10_PLEI</t>
  </si>
  <si>
    <t>Falta de revisión de informes institucionales por parte de Alta Dirección</t>
  </si>
  <si>
    <t>Alta Dirección</t>
  </si>
  <si>
    <t xml:space="preserve">Validar el cumplimiento de lo programado en los planes institucionales </t>
  </si>
  <si>
    <t xml:space="preserve">a través de la revisión de los informes de seguimiento y aprobación de modificaciones, con el fin de tomar decisiones acorde con la misionalidad y la realidad institucional </t>
  </si>
  <si>
    <t>DIR-P-3 Formulación, ajustes y seguimiento al Plan de Acción Instituciona y DIR-P-10 Formulación, monitoreo y seguimiento al Plan Estratégico Institucional (P</t>
  </si>
  <si>
    <t>Misión sectorial</t>
  </si>
  <si>
    <t>Ausensia de controles en la formulación y modificaciones de planes institucionales</t>
  </si>
  <si>
    <t>Ausencia de transparencia hacía la ciudadanía con respecto al avance del estado de los procesos</t>
  </si>
  <si>
    <t>Secretario técnico del Comité de Defensa Jurídica - Rol Abogado de Defensa Jurídica</t>
  </si>
  <si>
    <t>Verificar la divulgación a los públicos de interés el estado de los procesos de forma trimestral</t>
  </si>
  <si>
    <t>a través de la revisión de la publicación del informe de los procesos en la página web institucional de la entidad</t>
  </si>
  <si>
    <t>100.35.08 Procesos Judiciales</t>
  </si>
  <si>
    <t>Actualización del DIR-M-17 Manual para la contestación de la demanda, provisión contable y prevención de daño antijurídico, incluyendo el capítulo de seguimiento a los procesos judiciales y decisiciones del Comité</t>
  </si>
  <si>
    <t>Metodologías institucionales inexistentes o insuficientes para el control de procesos judiciales</t>
  </si>
  <si>
    <t xml:space="preserve">Comité de Conciliación y Defensa Jurídica </t>
  </si>
  <si>
    <t xml:space="preserve">Revisar la información presentada por el apoderado judicial de la entidad sobre cada proceso judicial o administrativo </t>
  </si>
  <si>
    <t>a través de las fichas técnicas de conciliación, presentación de procesos, y etapa judicial de cada caso</t>
  </si>
  <si>
    <t>Falta de seguimiento de las acciones determinadas por el Comité y de los procesos judiciales</t>
  </si>
  <si>
    <t>Secretario técnico del Comité de Defensa Jurídica</t>
  </si>
  <si>
    <t xml:space="preserve">Verificar el cumplimiento de las acciones determinadas por el Comité de Conciliación y Defensa Jurídica así como las requeridas en cada etapa procesal de cada proceso </t>
  </si>
  <si>
    <t>a través de la presentación mensual y el informe semestral del estado de cada una de las acciones en cada sesión.</t>
  </si>
  <si>
    <t>Actuaciones del abogado estando sancionado</t>
  </si>
  <si>
    <t>Revisar los antecedentes disciplinarios del abogado a cargo de los procesos judiciales</t>
  </si>
  <si>
    <t>a través de la plataforma institucional asignada para ello</t>
  </si>
  <si>
    <t>Cuatrimetral</t>
  </si>
  <si>
    <t>Omisiones o acciones inadecuadas ejecutadas en los procesos judiciales del ICC</t>
  </si>
  <si>
    <t>Presentar al Comité de Defensa Jurídica los casos donde se presentaron omisiones o acciones inadecuadas dentro del proceso</t>
  </si>
  <si>
    <t>a través de las sesiones ordinarias del Comité, con el fin de determinar acciones correspondiente</t>
  </si>
  <si>
    <t>Ausencia de previa validación a la publicación que garantice que la institución cumple con las normativas legales y estándares de transparencia</t>
  </si>
  <si>
    <t>Coordinador que emite la información</t>
  </si>
  <si>
    <t>Validar que el documento a publicar contenga información verídica</t>
  </si>
  <si>
    <t>mediante el envío de correo electrónico para su publicación como documento oficial en el espacio de Transparencia y Acceso a la Información de la página web institucional del ICC de acuerdo con el Esquema de Publicaciones</t>
  </si>
  <si>
    <t>COM-P-2 Administración de contenido en la sección de transparencia y acceso a la información pública de la página web institucional</t>
  </si>
  <si>
    <t>200.37.04 Programas de Divulgación - Boletines Prensa y Multimedia</t>
  </si>
  <si>
    <t>Crear, articular al SIG y socializar la Guía metodológica para el seguimiento y reporte de información institucional</t>
  </si>
  <si>
    <t>Falta de garantía en la autenticidad y oficialidad de la información</t>
  </si>
  <si>
    <t>Rol webmaster - Equipo de Comunicaciones y Prensa</t>
  </si>
  <si>
    <t>Verificar que la solicitud de publicación o despublicación de los documentos que se deben publicar en la sección de Transparencia y Acceso a la Información de la página web institucional</t>
  </si>
  <si>
    <t>sea remitida desde el correo del coordinador o de la dependencia o grupo solicitante y comunicar si la solicitud se hizo de la manera correcta</t>
  </si>
  <si>
    <t>Falta de registro y trazabilidad en el seguimiento de publicaciones en la página web institucional</t>
  </si>
  <si>
    <t>Verificar e incluir la información de cada solicitud de publicación en la página web institucional</t>
  </si>
  <si>
    <t>a través del diligenciamiento del registro de publicaciones asegurando que se documente de manera ordenada el nombre del archivo, la fecha de publicación y el enlace de consulta.</t>
  </si>
  <si>
    <t>Alteración, ocultamiento o eliminación de información crucial publicada en página web institucional</t>
  </si>
  <si>
    <t>Falta de evaluación en los tiempos establecidos y basada en criterios objetivos, lo que puede dar lugar a decisiones que se aparten del marco ético y permitan la manipulación de calificaciones.</t>
  </si>
  <si>
    <t>Docentes y rol docentes</t>
  </si>
  <si>
    <t xml:space="preserve">Verificar que las notas se hayan subido a tiempo </t>
  </si>
  <si>
    <t>FOR-P-1 Programas de posgrado</t>
  </si>
  <si>
    <t>Semestral</t>
  </si>
  <si>
    <t>201.19 Historias Académicas</t>
  </si>
  <si>
    <t>Articular el Reglamento Estudiantil al SIG del ICC adoptado actualmente a través de la resolución 295 de 2020.</t>
  </si>
  <si>
    <t>Decana de la Facultad Seminario Andrés Bello</t>
  </si>
  <si>
    <t>Ausencia de revisión del cumplimiento en la subida de notas, lo cual impide detectar y corregir oportunamente anomalías o retrasos, favoreciendo prácticas indebidas.</t>
  </si>
  <si>
    <t>Rol profesional encargado de la plataforma Academusoft de la Facultad Seminario Andrés Bello (FSAB)</t>
  </si>
  <si>
    <t>Validar que en el período establecido en el calendario académico el tiempo para subir las notas de cada asignatura por parte del docente se hayan cumplido</t>
  </si>
  <si>
    <t>a través de correo electrónico informando a la decanatura qué docentes no cumplieron con el plazo establecido. La decanatura realiza un llamado de atención al docente solicitando la explicación del incumplimiento.</t>
  </si>
  <si>
    <t>Detección de irregularidades o inconsistencias en las calificaciones que no se alinean con los criterios de evaluación previamente establecidos.</t>
  </si>
  <si>
    <t>Comité Académico con apoyo del secretario técnico del consejo</t>
  </si>
  <si>
    <t>Sancionar al docente</t>
  </si>
  <si>
    <t>por medio de la aplicación del reglamento docente</t>
  </si>
  <si>
    <t>No aplica</t>
  </si>
  <si>
    <t>Sospechas fundamentadas con aparición de indicios o comportamientos sospechosos que sugieren que un docente altera calificaciones a cambio de dádivas.</t>
  </si>
  <si>
    <t>Profesionales y técnicos de la Facultad Seminario Andrés Bello</t>
  </si>
  <si>
    <t>Denunciar ante la autoridad correspondiente</t>
  </si>
  <si>
    <t>Mediante escrito o correo electrónico, con soportes del caso allegados a la Facultad Seminario Andrés Bello</t>
  </si>
  <si>
    <t>Errores, omisiones o interpretaciones incorrectas que puedan comprometer la legalidad del proceso y la integridad institucional.</t>
  </si>
  <si>
    <t>Profesional especializado control interno disciplinario</t>
  </si>
  <si>
    <t xml:space="preserve">Cotejar que las decisiones en los autos están de acuerdo a la normatividad vigente </t>
  </si>
  <si>
    <t>a través de la revisión del expediente del proceso de acuerdo al código general disciplinario (Ley 1952 del 2019)</t>
  </si>
  <si>
    <t>Inconsistencias entre las decisiones y las evidencias</t>
  </si>
  <si>
    <t>Subdirector administrativo y financiero</t>
  </si>
  <si>
    <t>Verificar que la información proyectada en las decisiones disciplinarias corresponde a las evidencias que se encuentran en cada expediente disciplinario</t>
  </si>
  <si>
    <t>a través de la firma en los oficios, autos, edictos y audiencias del proceso disciplinario</t>
  </si>
  <si>
    <t>Procesos disciplinarios manejados de manera inadecuada y no conforme a la normatividad vigente</t>
  </si>
  <si>
    <t>Ausencia de revisión de las alianzas por parte de las instancias que intervienen en su realización</t>
  </si>
  <si>
    <t>Asesora Dirección General de Relaciones Interinstitucionales</t>
  </si>
  <si>
    <t>Revisar la minuta de la alianza basados en los estudios previos proyectados</t>
  </si>
  <si>
    <t>a través del analisis, completar y formular ajustes o modificaciones al texto que se acordará para establecer su versión final.</t>
  </si>
  <si>
    <t>ALI-P-1 Asesoría en el establecimiento de las relaciones interinstitucionales</t>
  </si>
  <si>
    <t xml:space="preserve">304.11.02 Convenios Interinstitucionales  </t>
  </si>
  <si>
    <t>Documentar la matriz de gestión de alianzas con el fin de llevar control de las diferentes revisiones con los tiempos en que son llevadas a cabo.</t>
  </si>
  <si>
    <t>Ausencia de verificación de las alianzas por parte del Grupo de Gestión Contractual de la entidad</t>
  </si>
  <si>
    <t>Coordinador del Grupo de Gestión Contractual o abogado designado</t>
  </si>
  <si>
    <t>Verificar los documentos de las propuestas de alianzas</t>
  </si>
  <si>
    <t>a través de la validación y visto bueno a los estudios previos y a los textos de la alianza proyectados desde Relaciones Interinstitucionales para posterior firma de la Dirección General</t>
  </si>
  <si>
    <t>Preferencia para celebrar alianzas y recibir dádivas impidiendo la aplicación de criterios objetivos y meritocráticos</t>
  </si>
  <si>
    <t>Ausencia de verificación de la aplicación de las normas fiscales y tributarias</t>
  </si>
  <si>
    <t>Profesional especializado con rol de Tesorería del Grupo de Gestión Financiera</t>
  </si>
  <si>
    <t>Verificar aleatoriamente antes de generar la orden de pago, que las deducciones hayan sido aplicadas</t>
  </si>
  <si>
    <r>
      <t xml:space="preserve">a través de la revisión de la transacción previa en SIIF Nación y el registro en la herramienta interna </t>
    </r>
    <r>
      <rPr>
        <i/>
        <sz val="11"/>
        <rFont val="Arial Narrow"/>
        <family val="2"/>
      </rPr>
      <t>Revisión retenciones de obligaciones</t>
    </r>
  </si>
  <si>
    <t>PRE-P-3 Gestión tesorería pagos</t>
  </si>
  <si>
    <t>TRD Grupo de Gestión Financiera / Documentos de apoyo</t>
  </si>
  <si>
    <t>Mantener actualizada la documentación normativa relacionada con los temas tributarios a través de la revisión de las páginas web oficiales y socializar al interior del Grupo de Gestión Financiera y enviar trimestralmente los ajustes (si se requiere) al rol jurídico solicitando la actualización de la matriz legal</t>
  </si>
  <si>
    <t>Profesionales con roles de Coordinación, tesorería y contador del Grupo de Gestión Financiera</t>
  </si>
  <si>
    <t>Omisión deliberada por parte del funcionario contador que representa a la entidad</t>
  </si>
  <si>
    <t>Coordinador del Grupo de Gestión Financiera</t>
  </si>
  <si>
    <t>Revisar el borrador de la declaración de deducciones tributarias previa presentación al ente rector</t>
  </si>
  <si>
    <t>a través de la comparación de las declaraciones tributarias del período anterior, utilizando la base de datos o herramienta para tal fin, en el caso de encontrar inconsistencia se solicitará la respectiva justificación y el ajuste al que haya lugar.</t>
  </si>
  <si>
    <t>Participar en las capacitaciones en temas tributarios y fiscales que programe la entidad y convocadas por SIIF Nación, previa solicitud de la Coordinadora de Gestión Financiera al Grupo de Talento Humano e inscripción en los casos requeridos</t>
  </si>
  <si>
    <t>Ausencia de verificación posterior de la aplicación de las normas y calendarios tributarios y fiscales vigentes</t>
  </si>
  <si>
    <t>Verificar que las declaraciones y recibos oficiales de pago hayan quedado consistentes</t>
  </si>
  <si>
    <r>
      <t xml:space="preserve">a través de la revisión de las cifras de las bases y los valores con la comparación realizada en la </t>
    </r>
    <r>
      <rPr>
        <i/>
        <sz val="11"/>
        <rFont val="Arial Narrow"/>
        <family val="2"/>
      </rPr>
      <t>herramienta interna seguimiento presentación y pago</t>
    </r>
  </si>
  <si>
    <t>Omisión o aplicación indebida de deducciones tributarias o de otro tipo</t>
  </si>
  <si>
    <t>Favoritismo en pagos a proveedores y contratistas</t>
  </si>
  <si>
    <t>Técnico del Grupo de Gestión Financiera</t>
  </si>
  <si>
    <t>Revisar las facturas y documentos de cobro y registrarlas en orden de llegada de acuerdo a la disponibilidad de PAC y Plan de Pagos</t>
  </si>
  <si>
    <t>por medio de la asignación de consecutivos diligenciando la hoja de ruta dispuestos por el Grupo de Gestión Financiera en OneDrive</t>
  </si>
  <si>
    <t>PRE-G-1 Cadena básica de gestión presupuestal</t>
  </si>
  <si>
    <t>Concentración de actividades financieras de pagos en un solo rol institucional</t>
  </si>
  <si>
    <t>Coordinador del Grupo de Gestión Financiera y el rol de tesorería del ICC</t>
  </si>
  <si>
    <t>Verificar que las órdenes de pago generadas corresponden al plan de pagos y en el orden de radicación</t>
  </si>
  <si>
    <t>con el fin de garantizar que esté articulada con la solicitud del PAC, el plan de pagos de los registros presupuestales y el cumplimiento del consecutivo de radicación, para la respectiva firma del ordenador del gasto.</t>
  </si>
  <si>
    <t>PRE-P-3 Gestión tesorería pagos y PRE-G-1 Cadena básica de gestión presupuestal.</t>
  </si>
  <si>
    <t>301.31.01 - Órdenes de Pago</t>
  </si>
  <si>
    <t>Gestión y trámite de pagos a proveedores y contratistas con beneficio propio o particular</t>
  </si>
  <si>
    <t>Uso inadecuado de aplicativo local y herramientas para registro de transacciones de las ventas</t>
  </si>
  <si>
    <t>Rol de librero y roles de cajero</t>
  </si>
  <si>
    <t xml:space="preserve">Revisar que se facturen las ventas en el módulo correspondiente del aplicativo local </t>
  </si>
  <si>
    <t>a través del registro en la herramienta de seguimiento, monitoreo y control alojada en el OneDrive del Grupo de Gestión Financiera, permanentemente.</t>
  </si>
  <si>
    <t>PRE-G-2 Actividades y responsabilidades de ventas en el rol de cajero</t>
  </si>
  <si>
    <t>Creación del procedimiento de gestión ingresos</t>
  </si>
  <si>
    <t>Coordinador del Grupo de Gestión Financiera con apoyo del rol contratista de recaudo</t>
  </si>
  <si>
    <t xml:space="preserve">Ausencia de arqueos periodicos del dinero en efectivo </t>
  </si>
  <si>
    <t>Profesionales y técnicos del Grupo de Gestión Financiera</t>
  </si>
  <si>
    <t>Realizar arqueos aleatorios a los responsables del dinero en efectivo en la entidad</t>
  </si>
  <si>
    <t>a través de una auditoría presencial no programada donde se confronta el aplicativo de ventas (WebSafi) y el SIIF Nación, con los soportes y el dinero en efectivo, de acuerdo a lo estipulado en el acto administrativo de constitución de la base de caja de la Librería Yerbabuena.</t>
  </si>
  <si>
    <r>
      <t xml:space="preserve">Socializar la guía </t>
    </r>
    <r>
      <rPr>
        <i/>
        <sz val="11"/>
        <rFont val="Arial Narrow"/>
        <family val="2"/>
      </rPr>
      <t xml:space="preserve">PRE-G-2 Actividades y responsabilidades de ventas en el rol de cajero </t>
    </r>
    <r>
      <rPr>
        <sz val="11"/>
        <rFont val="Arial Narrow"/>
        <family val="2"/>
      </rPr>
      <t>a los participantes en el recaudo y ventas en FILBO</t>
    </r>
  </si>
  <si>
    <t>Falta de herramientas que permitan revisar el registro detallado del manejo del dinero efectivo</t>
  </si>
  <si>
    <t>Técnico o delegado del Grupo de Gestión Financiera</t>
  </si>
  <si>
    <t>Cotejar semanalmente el dinero en efectivo recaudado según el reporte de ventas de aplicativo WebSafi</t>
  </si>
  <si>
    <t>a través de la entrega de los soportes y el dinero en efectivo y realizar la respectiva consignación.</t>
  </si>
  <si>
    <t>Incluir la articulación al SIG del procedimiento de Librería</t>
  </si>
  <si>
    <t>Coordinador del Grupo del Sello Editorial</t>
  </si>
  <si>
    <t>Uso indebido para fines particulares del dinero en efectivo del ICC</t>
  </si>
  <si>
    <t xml:space="preserve">a través de documento oficial institucional. </t>
  </si>
  <si>
    <t>Falta de documentación que especifiquen los criterios mínimos para la aprobación de postulaciones</t>
  </si>
  <si>
    <t>Integrantes del Comité Editorial</t>
  </si>
  <si>
    <t>Validar que las propuestas postuladas se alinien con las temáticas del Sello Editorial</t>
  </si>
  <si>
    <t>a través de la verificación de criterios mínimos de valoración estipulados en los términos de la convocatoria</t>
  </si>
  <si>
    <t xml:space="preserve">203.01.10 Actas de Comité Editorial </t>
  </si>
  <si>
    <t>Establecer lineamientos de evaluación para libros que ingresan a colecciones cerradas</t>
  </si>
  <si>
    <t>Coordinadora del Grupo del Sello Editorial</t>
  </si>
  <si>
    <t>Presión de un rol jerárquico mayor para la toma de decisiones y posibilidad de conflicto de interés</t>
  </si>
  <si>
    <t>Profesionales con roles de editores del Grupo del Sello Editorial</t>
  </si>
  <si>
    <t>Validar que se efectúe la evaluación por pares</t>
  </si>
  <si>
    <t>a través del formato de evaluación de pares para determinar si una publicación se avala o no</t>
  </si>
  <si>
    <t>DIR-M-13 Manual de política editorial de publicaciones</t>
  </si>
  <si>
    <t xml:space="preserve">203.38.06 Proyectos Editoriales Publicados  </t>
  </si>
  <si>
    <t>Desarrollar capacitación en la política editorial, vigente dirigida a docentes e investigadores del ICC</t>
  </si>
  <si>
    <t>Ausencia de seguimiento a las actividades editoriales planeadas</t>
  </si>
  <si>
    <t>Verificar el cumplimiento del Plan Editorial</t>
  </si>
  <si>
    <t>a través de la presentación de avances en el marco del Comité Editorial con el fin de conocer el estado de avance de los proyectos y tomar decisiones de acuerdo con las situaciones identificadas</t>
  </si>
  <si>
    <t>Creación y articulación al SIG del procedimiento publicación de libros en el Sello Editorial del ICC</t>
  </si>
  <si>
    <t>Profesional especializado grado 17 del Grupo del Sello Editorial</t>
  </si>
  <si>
    <t>Interés económico o financiero en la publicación de un determinado contenido</t>
  </si>
  <si>
    <t>Acceso no autorizado o privilegiado</t>
  </si>
  <si>
    <t>Coordinador del Grupo de Recursos Físicos</t>
  </si>
  <si>
    <t xml:space="preserve">Validar el acceso al personal autorizado </t>
  </si>
  <si>
    <t>a través de la asignación de llaves de las bodegas de insumos, productos y bienes por medio de correo electrónico remitido al Grupo de Recursos Físicos, especificando los cargos y funcionarios responsables de la custodia de las llaves.</t>
  </si>
  <si>
    <t>ADM-P-1 y ADM-P-2 se identifican las responsabilidades y los cargos de los funcionarios que ingresan a las bodegas</t>
  </si>
  <si>
    <t>Correo electrónico institucional con información de designación</t>
  </si>
  <si>
    <t xml:space="preserve">Realizar toma física comparativa del inventario de la bodega de materias primas y repuestos, e inventario de la Librería Yerbabuena, frente al reporte evidenciado en el aplicativo Web Safi, concluyendo en un informe en donde se detallarán los hallazgos y el camino a seguir para subsanar </t>
  </si>
  <si>
    <t>Auxiliar administrativo con rol de almacenista del Grupo de Sello Editorial con apoyo del técnico del Grupo de Recursos físicos</t>
  </si>
  <si>
    <t>Falta de controles internos adecuados</t>
  </si>
  <si>
    <t>ADM-C1-2</t>
  </si>
  <si>
    <t>Auxiliares del Grupo de Recursos Físicos</t>
  </si>
  <si>
    <t>Validar que los insumos, productos y bienes cuenten con autorización de salida</t>
  </si>
  <si>
    <t>a través de la revisión de los comprobantes de egreso en el Sistema de información de inventarios.</t>
  </si>
  <si>
    <t>ADM-P-1 y ADM-P-2</t>
  </si>
  <si>
    <t>305.22 Inventarios</t>
  </si>
  <si>
    <t>Establecer una plantilla de registro para el ingreso y salida del personal a la bodega de publicaciones (sótano), dado que en la actualidad otros grupos de trabajo, además del Grupo de Recursos Físicos, también tienen acceso a esta área del sótano.</t>
  </si>
  <si>
    <t>Auxiliar grado 9 del Grupo de Recursos Físicos</t>
  </si>
  <si>
    <t>Supervisión insuficiente de las actividades relacionadas con el almacenamiento y manejo de bienes</t>
  </si>
  <si>
    <t>Uso excesivo de citas sin referencia identificando un número anormalmente alto de citas o referencias sin la debida acreditación a las fuentes originales</t>
  </si>
  <si>
    <t>Rol director y tutor de la Facultad Seminario Andrés Bello.</t>
  </si>
  <si>
    <t xml:space="preserve">Revisar el de trabajo de grado, identificando si existe posible plagio </t>
  </si>
  <si>
    <t xml:space="preserve">a través del conocimiento del docente, evaluando la calidad final del trabajo. En el caso de considerar que hay posibilidad de plagio se elevará la solicitud de revisión al Rol Coordinador de programa y al Comité de Maestría. </t>
  </si>
  <si>
    <t>Gestionar la contratación de un software de control de plagio y ayuda de los docentes para su respectivo control</t>
  </si>
  <si>
    <t>Subdirector Académico</t>
  </si>
  <si>
    <t>Ausencia de mecanismos efectivos para asegurar que los trabajos de grado cumplan con los estándares académicos y éticos, lo cual es esencial para que los títulos otorgados por el ICC se fundamenten en obras originales.</t>
  </si>
  <si>
    <t>Comité de Facultad</t>
  </si>
  <si>
    <t>Revisar el documento remitido por el Comité de Maestría, con la identificación de un caso de plagio</t>
  </si>
  <si>
    <t>tomando decisiones sancionatorias de acuerdo a lo descrito en el Reglamento estudiantil</t>
  </si>
  <si>
    <t>Falta de controles en el acceso y manipulación de los objetos patrimoniales</t>
  </si>
  <si>
    <t>Coordinador Grupo de Biblioteca Especializada</t>
  </si>
  <si>
    <t>Revisar la pertinencia de la solicitudes por parte de un investigador interesado</t>
  </si>
  <si>
    <t>a través de la negación o aprobación del ingreso a colecciones no inventariadas con acompañamiento de un profesional o técnico del Grupo de Biblioteca Especializada</t>
  </si>
  <si>
    <t>INV-G-1 Guía de Atención Bibliotecaria</t>
  </si>
  <si>
    <t>Implementar planilla de ingreso de funcionarios y colaboradores, indicando hora de entrada, de salida y anotaciones sobre el material consultado en la sala Rafael Martínez Briceño</t>
  </si>
  <si>
    <t>Coordinador del Grupo de Biblioteca Especializada</t>
  </si>
  <si>
    <t>Ausencia de aseguramiento de la integridad y protección de los elementos con valor patrimonial en la entidad.</t>
  </si>
  <si>
    <r>
      <t xml:space="preserve">Incluir en la </t>
    </r>
    <r>
      <rPr>
        <i/>
        <sz val="11"/>
        <rFont val="Arial Narrow"/>
        <family val="2"/>
      </rPr>
      <t xml:space="preserve">INV-G-1 Guía de Atención Bibliotecaria </t>
    </r>
    <r>
      <rPr>
        <sz val="11"/>
        <rFont val="Arial Narrow"/>
        <family val="2"/>
      </rPr>
      <t>lineamientos para la consulta en salas patrimoniales donde se incluya el acompañamiento de Biblioteca</t>
    </r>
  </si>
  <si>
    <t>Coordinador con apoyo del técnico del Grupo de Biblioteca Especializada</t>
  </si>
  <si>
    <t>Construir y articular al SIG el procedimiento que orienta las actividades de visitas guiadas</t>
  </si>
  <si>
    <t>Coordinadores del Grupo de Biblioteca Especializada, del Sello Editorial, Asesor de Alianzas y rol líderes del Equipo de Museos y de Comunicaciones y Prensa</t>
  </si>
  <si>
    <t>Deficiente estructuración de los estudios y documentos previos</t>
  </si>
  <si>
    <t xml:space="preserve">Profesionales Grupo de Gestión Contractual </t>
  </si>
  <si>
    <t>Verificar que los documentos y estudios previos hayan sido revisados por los responsables</t>
  </si>
  <si>
    <t>de acuerdo a lo establecido en el procedimiento de revisión de estudios previos</t>
  </si>
  <si>
    <t>ADQ-P-1 Revisión de estudios y documentos previos</t>
  </si>
  <si>
    <t>Ajustar los requisitos habilitantes y ponderables a la idoneidad del proponente</t>
  </si>
  <si>
    <t>Profesionales del Grupo de Gestión Contratual, Grupo de Gestión Financiera y del grupo solicitante</t>
  </si>
  <si>
    <t>a través de la evaluación técnica, financiera y jurídica de las propuestas. Esta verificación podrá contar con otros responsables de acuerdo a la especificidad de la contratación en especialidades como TIC, gestión ambiental, sst, entre otros.</t>
  </si>
  <si>
    <t>Adjudicar un contrato a un proponente que no cumpla con los requisitos de idoneidad y experiencia exigidos en los estudios previos y pliegos de condiciones</t>
  </si>
  <si>
    <t>Profesionales Grupo de gestión contractual o quien detecte la materialización del riesgo</t>
  </si>
  <si>
    <t>Adelantar acciones que motiven el inicio del trámite disciplinario, penal, fiscal y/o de lo contencioso administrativo</t>
  </si>
  <si>
    <t>a través de la denuncia, quejas y/o solicitudes a los entes de control interno o externo</t>
  </si>
  <si>
    <t>El participante en el proyecto de investigación ignore o haga omisión de la normativa legal interna y nacional que existe sobre derechos de autor.</t>
  </si>
  <si>
    <t>Líder de Línea
Profesional especializado - Grupo de Investigaciones Académicas</t>
  </si>
  <si>
    <t>Revisar el cumplimiento de la obligación contractual referente a los conceptos éticos en el desarrollo y publicación de productos de investigación</t>
  </si>
  <si>
    <t>a través de las directrices emitidas por el Grupo Investigaciones Académicas diligenciando los formatos destinados para las reuniones trimestrales de seguimiento, especialmente en los últimos encuentros trimestrales y en el último informe debido a que es donde se reporta por parte de los líderes de línea y directores de proyectos la finalización de las investigaciones y se formaliza la entrega de los productos de investigación comprometidos.</t>
  </si>
  <si>
    <t>INV-P-1 Gestión de la investigación</t>
  </si>
  <si>
    <t>202.18 Informes</t>
  </si>
  <si>
    <t>Establecer, en los términos y condiciones de cada una de las convocatorias institucionales de proyectos de investigación, la solicitud explícita al proponente del proyecto de formalizar el reconocimiento legal de los productos comprometidos y derivados en el momento de la presentación pública de estos</t>
  </si>
  <si>
    <t>Coordinador Grupo de Investigaciones Académicas</t>
  </si>
  <si>
    <t>Desconocimiento sobre la normatividad vigente relacionada con derechos patrimoniales y morales de autor y falta de formalización de los mismos.</t>
  </si>
  <si>
    <t>Profesional especializado grado 17 del Grupo del Sello Editorial con apoyo del rol jurídico externo</t>
  </si>
  <si>
    <t>Verificar la aparición de la cláusula de declaración de titularidad del derecho moral y patrimonial de autor y la cláusula de indemnidad</t>
  </si>
  <si>
    <t>en el contrato de cesión de derechos patrimoniales de autor y el contrato de licencia de uso.</t>
  </si>
  <si>
    <t xml:space="preserve">100.28	 Licencias y autorización de derechos de autor </t>
  </si>
  <si>
    <t>Incluir en las convocatorias institucionales de proyectos de investigación una cláusula de indemnidad para la entidad</t>
  </si>
  <si>
    <t>Falta de seguimiento de los cambios de tono y estilo en el documento, permitiendo que se pase por alto la posibilidad de plagio.</t>
  </si>
  <si>
    <t>Profesional con rol de editor y Técnico con rol de corrección de estilo del Grupo del Sello Editorial</t>
  </si>
  <si>
    <t xml:space="preserve">Validar en la revisión del documento los cambios de tono y estilo de argumentación </t>
  </si>
  <si>
    <t>a través de la marcación del documento en revisión para corroborar la autoría de un apartado en específico.</t>
  </si>
  <si>
    <t>Articulación al SIG el Manual de propiedad intelectual incluyendo la actividad de remitir al Comité de Defensa Jurídica los casos de posible infracción de derechos de autor</t>
  </si>
  <si>
    <t>Rol Abogado de Defensa Jurídica con apoyo de los coordinadores del Grupo de Sello Editorial y del Grupo de Investigaciones Académicas</t>
  </si>
  <si>
    <t xml:space="preserve">Desconocer o afectar los derechos de autor </t>
  </si>
  <si>
    <t>Presentar al Comité de Defensa Jurídica el caso de presunto desconocimiento de los derechos de autor de un tercero</t>
  </si>
  <si>
    <t>a través de las sesiones ordinarias del Comité, definiendo las acciones a realizar para proteger a la entidad.</t>
  </si>
  <si>
    <t>Gestionar la contratación de un software de control de plagio y ayuda de los docentes e investigadores para su respectivo control. Se proyecta que la contratación apoye especialmente al Equipo de Comunicaciones, a la Facultad Seminario Andrés Bello, al Grupo de Investigaciones Académicas y al Grupo del Sello Editorial.</t>
  </si>
  <si>
    <t>Contacto con la Dirección Nacional de Derechos de Autor para disponer de capacitación sobre derechos de autor en el campo de obras literarias dirigida a los investigadores y docentes investigadores del ICC.</t>
  </si>
  <si>
    <t>Coordinador del Grupo de Investigaciones Académicas y profesional especializado grado 17 del Grupo de Sello Editorial</t>
  </si>
  <si>
    <t>Seleccione el proceso para visulizar los respectivos riesgos en la matriz de calor</t>
  </si>
  <si>
    <t>Seleccione el código del riesgo que quiere visualizar en la matriz de calor</t>
  </si>
  <si>
    <t>Controles sin cambio en la severidad</t>
  </si>
  <si>
    <t>Falta control</t>
  </si>
  <si>
    <t>(Varios elementos)</t>
  </si>
  <si>
    <t>Posición Severidad i</t>
  </si>
  <si>
    <t>Posición Severidad r</t>
  </si>
  <si>
    <t>Suma de Posición i</t>
  </si>
  <si>
    <t>Suma Posición r</t>
  </si>
  <si>
    <t>Suma Posición i</t>
  </si>
  <si>
    <t>FICHA DEL RIESGO</t>
  </si>
  <si>
    <t>Código: MEJ-F-12
Versión: 1.0
Fecha: 06/12/2023</t>
  </si>
  <si>
    <t>3.4 Eficiencia de controles</t>
  </si>
  <si>
    <t>Eficiencia en probabilidad</t>
  </si>
  <si>
    <t>Eficiencia en impacto</t>
  </si>
  <si>
    <t>1.4 Causa raíz</t>
  </si>
  <si>
    <t>Acción</t>
  </si>
  <si>
    <t>Actividad</t>
  </si>
  <si>
    <t>Responsable</t>
  </si>
  <si>
    <t>Firma</t>
  </si>
  <si>
    <t>Nombre del revisor:</t>
  </si>
  <si>
    <t>Nombre del aprobador:</t>
  </si>
  <si>
    <t>Ajuste de forma - Matriz</t>
  </si>
  <si>
    <t>Por cada riesgo un color - no color gris en cada una de ellas</t>
  </si>
  <si>
    <t>Frecuencias: Incluir frecuencia del riesgo "trimestral"</t>
  </si>
  <si>
    <t>¿El Plan de reducción es lineal? ¿Se pueden repetir causas? ¿se puede duplicar la actividad del plan de reducción?</t>
  </si>
  <si>
    <t>Semestral - facultad</t>
  </si>
  <si>
    <t>Revisión riesgos</t>
  </si>
  <si>
    <t>Referencia</t>
  </si>
  <si>
    <t>Área</t>
  </si>
  <si>
    <t>Revisión</t>
  </si>
  <si>
    <t>Observaciones UCI y Planeación</t>
  </si>
  <si>
    <t>ADQ-01</t>
  </si>
  <si>
    <t>Contratos</t>
  </si>
  <si>
    <t>Se ajusta la frecuencia y la unidad de medida. Se ajustan las causas y se incluye un control preventivo</t>
  </si>
  <si>
    <t>Ok</t>
  </si>
  <si>
    <t>Planeación</t>
  </si>
  <si>
    <t>Se ajustó la redacción, la cuantificación del riesgo, las causas, controles y plan de reducción</t>
  </si>
  <si>
    <t>Jurídico</t>
  </si>
  <si>
    <t>Se ajustó de forma la redacción del riesgo. Se ajustaron las causas del riesgo y se ajustaron de forma los controles. Se incluyó una actividad en el plan de reducción.</t>
  </si>
  <si>
    <t xml:space="preserve">COM-C1 </t>
  </si>
  <si>
    <t>Webmaster</t>
  </si>
  <si>
    <t>Se incluyó una causa y un control</t>
  </si>
  <si>
    <t>Se ajusta de forma el riesgo y se ajusta la frecuencia y la unidad de medida.
Se ajustaron las causas y controles y se incluyó una actividad en el plan de reducción</t>
  </si>
  <si>
    <t>Documental</t>
  </si>
  <si>
    <t>Se eliminó actividad del Plan de Reducción</t>
  </si>
  <si>
    <t>Facultad</t>
  </si>
  <si>
    <t>Se incluyeron las causas correspondientes a los controles.
Se incluyó un control preventivo y una actividad en el Plan de Reducción</t>
  </si>
  <si>
    <t>DIS-C1</t>
  </si>
  <si>
    <t>Disciplinario</t>
  </si>
  <si>
    <t>Se ajustaron causas y controles</t>
  </si>
  <si>
    <t>Se ajustaron las causas y controles y se documentó una actividad en el Plan de Reducción</t>
  </si>
  <si>
    <t>Financiera</t>
  </si>
  <si>
    <t>Recursos físicos</t>
  </si>
  <si>
    <t>Control eliminado porque no cumple con condiciones de periodicidad</t>
  </si>
  <si>
    <t>Se ajusta redacción del control</t>
  </si>
  <si>
    <t>Sello Editorial</t>
  </si>
  <si>
    <t>Se ajustaron la frecuencia del riesgo y las causas; y se incluyeron dos controles y una actividad en el Plan de Reducción</t>
  </si>
  <si>
    <t>Se ajustó la frecuencia del riesgo, se incluyó un control y una actividad del plan de reducción</t>
  </si>
  <si>
    <t>Se actualizó fecha del plan de reducción</t>
  </si>
  <si>
    <t>Se ajustó de forma la redacción del riesgo y se ajustó la frecuencia del riesgo. Se ajustaron las causas y los controles y se incluyó una actividad en el Plan de Reducción</t>
  </si>
  <si>
    <t>Biblioteca</t>
  </si>
  <si>
    <t xml:space="preserve">Se incluyó una causa, se ajustaron los controles y el plan de reducción. </t>
  </si>
  <si>
    <t>ADQ-02</t>
  </si>
  <si>
    <t>Se ajustó de forma la redacción del riesgo y se ajustó la frecuencia del riesgo. Se incluyó una actividad en el Plan de Reducción</t>
  </si>
  <si>
    <t xml:space="preserve">Se ajustaron las fechas y se incluyó una actividad del plan de reducción </t>
  </si>
  <si>
    <t>Se ajustó fecha del plan de reducción</t>
  </si>
  <si>
    <t>204.24.05 Instrumentos de Control de Préstamo Material Bibliográfico y Documental</t>
  </si>
  <si>
    <t>TRD Gestión Contractual / Documentos de apoyo</t>
  </si>
  <si>
    <t>de acuerdo a lo establecido en el calendario académico</t>
  </si>
  <si>
    <t>Descriptor factor</t>
  </si>
  <si>
    <t>Articular al SIG el procedimiento para la entrega de informes de actividades para prestación de servicios profesionales y procedimiento de liquidación de contratos con sus respectivos formatos</t>
  </si>
  <si>
    <t>Verificar los requisitos habilitantes y ponderables de la invitación o pliego de condiciones</t>
  </si>
  <si>
    <t>Documentar los siguientes procedimientos del proceso de Adquisiciones que identificarán los puntos de control en el desarrollo de las actividades:
* Procedimiento Contratación directa para contratos y convenios interadministrativos y no pluralidad de oferentes 
* Procedimiento Contratación directa para la prestación de servicios profesionales y apoyo a la gestión
* Procedimiento selección Abreviada Subasta Inversa
* Procedimiento licitación Pública
* Procedimiento de radicación de informe de actividades para contratos de prestación de servicios y de apoyo a la gestión</t>
  </si>
  <si>
    <t>Control de cambios</t>
  </si>
  <si>
    <t>Versión</t>
  </si>
  <si>
    <t>Fecha de aprobación</t>
  </si>
  <si>
    <t>Elaborado por:</t>
  </si>
  <si>
    <t>Revisado por:</t>
  </si>
  <si>
    <t>Aprobado por:</t>
  </si>
  <si>
    <t>Descripción del cambio</t>
  </si>
  <si>
    <t xml:space="preserve">Grupo de Planeación </t>
  </si>
  <si>
    <t xml:space="preserve">Coordinadores de grupo </t>
  </si>
  <si>
    <t>Comité Institucional de Gestión y Desempeño. Acta número 7 de 2021</t>
  </si>
  <si>
    <t>Creación del documento</t>
  </si>
  <si>
    <t>Coordinador Grupo de Planeación</t>
  </si>
  <si>
    <t>Comité Institucional de Gestión y Desempeño. Acta número 4 de 2022</t>
  </si>
  <si>
    <t>Se ajusta la fecha de implementación de la actividad del plan de reducción de los riesgos Referencia 1 del proceso de Adquisiciones, Referencia 2 y 3 del proceso de Direccionamiento Estratégico, Referencia 5 del proceso de Gestión del Talento Humano, se propone una nueva actividad del plan de reducción del riesgo Referencia 4 del proceso de Información y Comunicación debido al cumplimiento de la anteriormente propuesta, se modifica la acción y el complemento del control detectivo del riesgo Referencia 1 del proceso de Adquisiciones y del riesgo Referencia 5 del proceso de Gestión del Talento Humano y se modifica el complemento del control preventivo del riesgo Referencia 4 del proceso de Información y Comunicación.</t>
  </si>
  <si>
    <t>Comité Institucional de Gestión y Desempeño. Acta número 10 de 2022</t>
  </si>
  <si>
    <t>Se ajusta la fecha de implementación de la actividad del plan de reducción de los riesgos Referencia 1 del proceso de Adquisiciones y Referencia 2 del proceso de Direccionamiento Estratégico, se propone una nueva actividad del plan de reducción del riesgo Referencia 4 del proceso de Información y Comunicación debido al cumplimiento de la anteriormente propuesta, se elimina el control detectivo del riesgo Referencia 5 del proceso de Gestión del Talento Humano, se especifican los cargos o roles de los responsables de los controles y actividades del plan de reducción de los riesgos Referencia 2 del proceso de Direccionamiento Estratégico y Referencia 4 del proceso de Información y Comunicación y se incluyen dos riesgos nuevos para el proceso de Contabilidad y Presupuesto (Referencia 10 y 11).</t>
  </si>
  <si>
    <t>Grupo de Planeación y Relacionamiento con el Ciudadano</t>
  </si>
  <si>
    <t>Todos los líderes de dependencias y equipos y cargos o roles encargados de aplicación de controles</t>
  </si>
  <si>
    <t>Comité Institucional de Control Interno. Acta número 11 de 2023</t>
  </si>
  <si>
    <r>
      <t>Se realizaron ajustes en la redacción de todos los riesgos, subcausas, controles y planes de reducción. Estos ajustes abarcaron tanto la claridad de las descripciones como la coherencia en las fechas y en las acciones implementadas o pendientes de implementar.
En esta instancia, se ha incorporado al registro siete nuevos riesgos identificados:
PRE-C3</t>
    </r>
    <r>
      <rPr>
        <sz val="11"/>
        <rFont val="Arial Narrow"/>
        <family val="2"/>
      </rPr>
      <t xml:space="preserve">: Proceso de Contabilidad y presupuesto.
APR-C1, APR-C2 y APR-C3: Proceso de Apropiación social del conocimiento y del patrimonio.
ADM-C1: Proceso de Gestión de bienes y servicios.
FOR-C2: Formación
ADQ-C2: Adquisiciones
</t>
    </r>
    <r>
      <rPr>
        <sz val="11"/>
        <color theme="1"/>
        <rFont val="Arial Narrow"/>
        <family val="2"/>
      </rPr>
      <t xml:space="preserve">En correspondencia con la revisión, se procedió a eliminar el riesgo DIS-C2 del proceso de Control Disciplinario, debido a que se unen las acciones de </t>
    </r>
    <r>
      <rPr>
        <sz val="11"/>
        <rFont val="Arial Narrow"/>
        <family val="2"/>
      </rPr>
      <t>mitigación en el riesgo DIS-C1
Se implementa codificación de riesgos por proceso</t>
    </r>
  </si>
  <si>
    <t>Líderes de dependencias y equipos y cargos o roles encargados de aplicación de controles</t>
  </si>
  <si>
    <t>Se realizaron ajustes en la redacción de los riesgos, subcausas, controles y planes de reducción. Estos ajustes abarcaron tanto la claridad de las descripciones como la coherencia en las fechas y en las acciones implementadas o pendientes de implementar. Los ajustes correspondientes fueron hacía la redacción de los riesgos, subcausas, controles y planes de reducción. Estos ajustes abarcaron tanto la claridad de las descripciones como la coherencia en las fechas y en las acciones implementadas o pendientes de implementar.
En correspondencia con la revisión, se procedió a eliminar el riesgo DES-C1 del proceso de Gestión del talento humano, debido a que el nivel de frecuencia de la actividad que origina el riesgo disminuyó sustancialmente con las convocatorias realizadas a través de la CNSC.</t>
  </si>
  <si>
    <t>Se realizaron modificaciones en la redacción de los riesgos, subcausas, controles y planes de reducción. Estos cambios se enfocaron en mejorar la claridad de las descripciones y garantizar la coherencia tanto en las fechas como en las acciones implementadas o pendientes de ejecutar. Los ajustes respondieron a las observaciones surgidas del monitoreo realizado por el Grupo de Planeación y Relacionamiento con el Ciudadano, así como al seguimiento efectuado por la Unidad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</si>
</sst>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00_);_(* \(#,##0.00\);_(* &quot;-&quot;??_);_(@_)"/>
    <numFmt numFmtId="165" formatCode="0.0%"/>
    <numFmt numFmtId="166" formatCode="_-&quot;$&quot;* #,##0.00_-;\-&quot;$&quot;* #,##0.00_-;_-&quot;$&quot;* &quot;-&quot;??_-;_-@_-"/>
  </numFmts>
  <fonts count="50" x14ac:knownFonts="1">
    <font>
      <sz val="11"/>
      <color theme="1"/>
      <name val="Aptos Narrow"/>
      <family val="2"/>
      <scheme val="minor"/>
    </font>
    <font>
      <sz val="11"/>
      <color theme="1"/>
      <name val="Aptos Narrow"/>
      <family val="2"/>
      <scheme val="minor"/>
    </font>
    <font>
      <sz val="16"/>
      <color theme="1"/>
      <name val="Arial Narrow"/>
      <family val="2"/>
    </font>
    <font>
      <b/>
      <sz val="16"/>
      <color theme="1"/>
      <name val="Arial Narrow"/>
      <family val="2"/>
    </font>
    <font>
      <b/>
      <sz val="12"/>
      <color rgb="FF000000"/>
      <name val="Arial Narrow"/>
      <family val="2"/>
    </font>
    <font>
      <b/>
      <sz val="14"/>
      <color rgb="FF000000"/>
      <name val="Arial Narrow"/>
      <family val="2"/>
    </font>
    <font>
      <sz val="12"/>
      <color rgb="FF0070C0"/>
      <name val="Arial Narrow"/>
      <family val="2"/>
    </font>
    <font>
      <b/>
      <sz val="12"/>
      <name val="Arial Narrow"/>
      <family val="2"/>
    </font>
    <font>
      <sz val="12"/>
      <color theme="1"/>
      <name val="Aptos Narrow"/>
      <family val="2"/>
      <scheme val="minor"/>
    </font>
    <font>
      <sz val="12"/>
      <color rgb="FF000000"/>
      <name val="Arial Narrow"/>
      <family val="2"/>
    </font>
    <font>
      <sz val="10"/>
      <name val="Arial"/>
      <family val="2"/>
    </font>
    <font>
      <sz val="12"/>
      <name val="Arial Narrow"/>
      <family val="2"/>
    </font>
    <font>
      <sz val="16"/>
      <name val="Arial Narrow"/>
      <family val="2"/>
    </font>
    <font>
      <sz val="12"/>
      <color theme="1"/>
      <name val="Arial Narrow"/>
      <family val="2"/>
    </font>
    <font>
      <sz val="11"/>
      <color theme="1"/>
      <name val="Arial Narrow"/>
      <family val="2"/>
    </font>
    <font>
      <b/>
      <sz val="11"/>
      <color theme="1"/>
      <name val="Arial Narrow"/>
      <family val="2"/>
    </font>
    <font>
      <b/>
      <sz val="10"/>
      <name val="Arial Narrow"/>
      <family val="2"/>
    </font>
    <font>
      <b/>
      <sz val="12"/>
      <color rgb="FF0070C0"/>
      <name val="Arial Narrow"/>
      <family val="2"/>
    </font>
    <font>
      <b/>
      <sz val="10"/>
      <color theme="1"/>
      <name val="Arial Narrow"/>
      <family val="2"/>
    </font>
    <font>
      <sz val="10"/>
      <name val="Arial Narrow"/>
      <family val="2"/>
    </font>
    <font>
      <b/>
      <sz val="10"/>
      <color rgb="FF000000"/>
      <name val="Arial Narrow"/>
      <family val="2"/>
    </font>
    <font>
      <sz val="10"/>
      <color rgb="FF000000"/>
      <name val="Arial Narrow"/>
      <family val="2"/>
    </font>
    <font>
      <b/>
      <sz val="11"/>
      <color theme="0"/>
      <name val="Arial Narrow"/>
      <family val="2"/>
    </font>
    <font>
      <b/>
      <sz val="11"/>
      <color theme="0" tint="-4.9989318521683403E-2"/>
      <name val="Arial Narrow"/>
      <family val="2"/>
    </font>
    <font>
      <sz val="11"/>
      <name val="Arial Narrow"/>
      <family val="2"/>
    </font>
    <font>
      <b/>
      <sz val="11"/>
      <name val="Arial Narrow"/>
      <family val="2"/>
    </font>
    <font>
      <u/>
      <sz val="11"/>
      <color theme="10"/>
      <name val="Aptos Narrow"/>
      <family val="2"/>
      <scheme val="minor"/>
    </font>
    <font>
      <sz val="11"/>
      <color rgb="FF000000"/>
      <name val="Arial Narrow"/>
      <family val="2"/>
    </font>
    <font>
      <sz val="8"/>
      <name val="Aptos Narrow"/>
      <family val="2"/>
      <scheme val="minor"/>
    </font>
    <font>
      <b/>
      <sz val="12"/>
      <color theme="0"/>
      <name val="Arial Narrow"/>
      <family val="2"/>
    </font>
    <font>
      <b/>
      <sz val="12"/>
      <color rgb="FFFFFFFF"/>
      <name val="Arial Narrow"/>
      <family val="2"/>
    </font>
    <font>
      <b/>
      <sz val="11"/>
      <color rgb="FF000000"/>
      <name val="Arial Narrow"/>
      <family val="2"/>
    </font>
    <font>
      <b/>
      <sz val="11"/>
      <color theme="0"/>
      <name val="Aptos Narrow"/>
      <family val="2"/>
      <scheme val="minor"/>
    </font>
    <font>
      <b/>
      <sz val="11"/>
      <color theme="1"/>
      <name val="Aptos Narrow"/>
      <family val="2"/>
      <scheme val="minor"/>
    </font>
    <font>
      <b/>
      <sz val="12"/>
      <color theme="0" tint="-4.9989318521683403E-2"/>
      <name val="Arial Narrow"/>
      <family val="2"/>
    </font>
    <font>
      <sz val="14"/>
      <color theme="1"/>
      <name val="Arial Narrow"/>
      <family val="2"/>
    </font>
    <font>
      <b/>
      <sz val="14"/>
      <color theme="0" tint="-4.9989318521683403E-2"/>
      <name val="Arial Narrow"/>
      <family val="2"/>
    </font>
    <font>
      <sz val="11"/>
      <color theme="7" tint="-0.249977111117893"/>
      <name val="Aptos Narrow"/>
      <family val="2"/>
      <scheme val="minor"/>
    </font>
    <font>
      <b/>
      <sz val="11"/>
      <name val="Aptos Narrow"/>
      <family val="2"/>
      <scheme val="minor"/>
    </font>
    <font>
      <b/>
      <sz val="12"/>
      <color theme="5" tint="-0.249977111117893"/>
      <name val="Arial Narrow"/>
      <family val="2"/>
    </font>
    <font>
      <b/>
      <sz val="12"/>
      <color theme="7" tint="-0.249977111117893"/>
      <name val="Arial Narrow"/>
      <family val="2"/>
    </font>
    <font>
      <b/>
      <sz val="12"/>
      <color theme="9" tint="-0.249977111117893"/>
      <name val="Arial Narrow"/>
      <family val="2"/>
    </font>
    <font>
      <b/>
      <sz val="12"/>
      <color theme="1"/>
      <name val="Arial Narrow"/>
      <family val="2"/>
    </font>
    <font>
      <b/>
      <sz val="14"/>
      <color theme="5" tint="-0.249977111117893"/>
      <name val="Arial Narrow"/>
      <family val="2"/>
    </font>
    <font>
      <b/>
      <sz val="14"/>
      <color theme="7" tint="-0.249977111117893"/>
      <name val="Arial Narrow"/>
      <family val="2"/>
    </font>
    <font>
      <b/>
      <sz val="14"/>
      <color theme="9" tint="-0.249977111117893"/>
      <name val="Arial Narrow"/>
      <family val="2"/>
    </font>
    <font>
      <sz val="10"/>
      <color theme="1"/>
      <name val="Arial"/>
      <family val="2"/>
    </font>
    <font>
      <u/>
      <sz val="12"/>
      <color theme="10"/>
      <name val="Aptos Narrow"/>
      <family val="2"/>
      <scheme val="minor"/>
    </font>
    <font>
      <u/>
      <sz val="10"/>
      <color theme="10"/>
      <name val="Arial"/>
      <family val="2"/>
    </font>
    <font>
      <i/>
      <sz val="11"/>
      <name val="Arial Narrow"/>
      <family val="2"/>
    </font>
  </fonts>
  <fills count="3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996600"/>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rgb="FFFCC0BA"/>
        <bgColor indexed="64"/>
      </patternFill>
    </fill>
    <fill>
      <patternFill patternType="solid">
        <fgColor theme="4"/>
        <bgColor theme="4"/>
      </patternFill>
    </fill>
    <fill>
      <patternFill patternType="solid">
        <fgColor theme="8" tint="-0.49998474074526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CCCC"/>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s>
  <borders count="30">
    <border>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dotted">
        <color rgb="FFF79646"/>
      </left>
      <right style="dotted">
        <color rgb="FFF79646"/>
      </right>
      <top/>
      <bottom style="dotted">
        <color rgb="FFF79646"/>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otted">
        <color rgb="FFF79646"/>
      </left>
      <right style="dotted">
        <color rgb="FFF79646"/>
      </right>
      <top style="dotted">
        <color rgb="FFF79646"/>
      </top>
      <bottom style="dotted">
        <color rgb="FFF79646"/>
      </bottom>
      <diagonal/>
    </border>
    <border>
      <left style="thin">
        <color theme="9" tint="-0.499984740745262"/>
      </left>
      <right/>
      <top/>
      <bottom/>
      <diagonal/>
    </border>
    <border>
      <left/>
      <right/>
      <top/>
      <bottom style="dashed">
        <color theme="9" tint="-0.249977111117893"/>
      </bottom>
      <diagonal/>
    </border>
    <border>
      <left/>
      <right/>
      <top style="dashed">
        <color theme="9" tint="-0.24997711111789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tint="-0.499984740745262"/>
      </left>
      <right style="thin">
        <color theme="9" tint="-0.499984740745262"/>
      </right>
      <top/>
      <bottom/>
      <diagonal/>
    </border>
    <border>
      <left/>
      <right style="dashed">
        <color theme="9" tint="-0.24997711111789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top/>
      <bottom style="medium">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double">
        <color indexed="64"/>
      </left>
      <right/>
      <top/>
      <bottom style="thin">
        <color indexed="64"/>
      </bottom>
      <diagonal/>
    </border>
    <border>
      <left/>
      <right/>
      <top style="double">
        <color indexed="64"/>
      </top>
      <bottom style="medium">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3">
    <xf numFmtId="0" fontId="0"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 fillId="0" borderId="0"/>
    <xf numFmtId="0" fontId="26" fillId="0" borderId="0" applyNumberFormat="0" applyFill="0" applyBorder="0" applyAlignment="0" applyProtection="0"/>
    <xf numFmtId="0" fontId="10" fillId="0" borderId="0"/>
    <xf numFmtId="0" fontId="1" fillId="0" borderId="0"/>
    <xf numFmtId="9" fontId="10" fillId="0" borderId="0" applyFont="0" applyFill="0" applyBorder="0" applyAlignment="0" applyProtection="0"/>
    <xf numFmtId="0" fontId="8" fillId="0" borderId="0"/>
    <xf numFmtId="0" fontId="8" fillId="0" borderId="0"/>
    <xf numFmtId="0" fontId="1" fillId="0" borderId="0"/>
    <xf numFmtId="166" fontId="1" fillId="0" borderId="0" applyFont="0" applyFill="0" applyBorder="0" applyAlignment="0" applyProtection="0"/>
    <xf numFmtId="0" fontId="26" fillId="0" borderId="0" applyNumberFormat="0" applyFill="0" applyBorder="0" applyAlignment="0" applyProtection="0"/>
    <xf numFmtId="0" fontId="8" fillId="0" borderId="0"/>
    <xf numFmtId="9" fontId="1" fillId="0" borderId="0" applyFont="0" applyFill="0" applyBorder="0" applyAlignment="0" applyProtection="0"/>
    <xf numFmtId="0" fontId="10" fillId="0" borderId="0"/>
    <xf numFmtId="9" fontId="10"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46" fillId="0" borderId="0"/>
    <xf numFmtId="0" fontId="10" fillId="0" borderId="0" applyNumberFormat="0" applyFont="0" applyFill="0" applyBorder="0" applyAlignment="0" applyProtection="0"/>
    <xf numFmtId="0" fontId="47"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0" fontId="48" fillId="0" borderId="0" applyNumberFormat="0" applyFill="0" applyBorder="0" applyAlignment="0" applyProtection="0"/>
    <xf numFmtId="0" fontId="1" fillId="0" borderId="0"/>
    <xf numFmtId="9" fontId="1" fillId="0" borderId="0" applyFont="0" applyFill="0" applyBorder="0" applyAlignment="0" applyProtection="0"/>
    <xf numFmtId="0" fontId="26" fillId="0" borderId="0" applyNumberFormat="0" applyFill="0" applyBorder="0" applyAlignment="0" applyProtection="0"/>
  </cellStyleXfs>
  <cellXfs count="277">
    <xf numFmtId="0" fontId="0" fillId="0" borderId="0" xfId="0"/>
    <xf numFmtId="0" fontId="6" fillId="3" borderId="1" xfId="0" applyFont="1" applyFill="1" applyBorder="1" applyAlignment="1">
      <alignment horizontal="center" vertical="center" wrapText="1" readingOrder="1"/>
    </xf>
    <xf numFmtId="37" fontId="9" fillId="0" borderId="7" xfId="2" applyNumberFormat="1" applyFont="1" applyBorder="1" applyAlignment="1">
      <alignment horizontal="center" vertical="center" wrapText="1" readingOrder="1"/>
    </xf>
    <xf numFmtId="0" fontId="4" fillId="4" borderId="2"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37" fontId="9" fillId="0" borderId="9" xfId="2" applyNumberFormat="1" applyFont="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9" fillId="2" borderId="1" xfId="0" applyFont="1" applyFill="1" applyBorder="1" applyAlignment="1">
      <alignment horizontal="justify" vertical="center" wrapText="1" readingOrder="1"/>
    </xf>
    <xf numFmtId="9" fontId="4" fillId="2" borderId="1" xfId="0" applyNumberFormat="1" applyFont="1" applyFill="1" applyBorder="1" applyAlignment="1">
      <alignment horizontal="center" vertical="center" wrapText="1" readingOrder="1"/>
    </xf>
    <xf numFmtId="10" fontId="7" fillId="6" borderId="8" xfId="1" applyNumberFormat="1" applyFont="1" applyFill="1" applyBorder="1" applyAlignment="1" applyProtection="1">
      <alignment horizontal="center" vertical="center" wrapText="1" readingOrder="1"/>
      <protection hidden="1"/>
    </xf>
    <xf numFmtId="0" fontId="7" fillId="6" borderId="8" xfId="0" applyFont="1" applyFill="1" applyBorder="1" applyAlignment="1" applyProtection="1">
      <alignment horizontal="center" vertical="center" wrapText="1" readingOrder="1"/>
      <protection hidden="1"/>
    </xf>
    <xf numFmtId="0" fontId="7" fillId="6" borderId="8" xfId="0" applyFont="1" applyFill="1" applyBorder="1" applyAlignment="1">
      <alignment horizontal="center" vertical="center" wrapText="1" readingOrder="1"/>
    </xf>
    <xf numFmtId="0" fontId="17" fillId="7" borderId="8" xfId="3" applyFont="1" applyFill="1" applyBorder="1" applyAlignment="1">
      <alignment horizontal="center" vertical="center" wrapText="1"/>
    </xf>
    <xf numFmtId="0" fontId="20" fillId="7" borderId="8" xfId="0" applyFont="1" applyFill="1" applyBorder="1" applyAlignment="1">
      <alignment horizontal="center" vertical="center" wrapText="1" readingOrder="1"/>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wrapText="1"/>
      <protection locked="0"/>
    </xf>
    <xf numFmtId="0" fontId="14" fillId="2"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0" fontId="20" fillId="7" borderId="9" xfId="0" applyFont="1" applyFill="1" applyBorder="1" applyAlignment="1">
      <alignment horizontal="center" vertical="center" wrapText="1" readingOrder="1"/>
    </xf>
    <xf numFmtId="0" fontId="21" fillId="0" borderId="9" xfId="0" applyFont="1" applyBorder="1" applyAlignment="1">
      <alignment horizontal="left" vertical="center" wrapText="1"/>
    </xf>
    <xf numFmtId="0" fontId="2" fillId="2" borderId="0" xfId="0" applyFont="1" applyFill="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8" fillId="2" borderId="0" xfId="0" applyFont="1" applyFill="1" applyAlignment="1">
      <alignment vertical="center" wrapText="1"/>
    </xf>
    <xf numFmtId="0" fontId="11" fillId="2" borderId="0" xfId="0" applyFont="1" applyFill="1" applyAlignment="1">
      <alignment vertical="center" wrapText="1"/>
    </xf>
    <xf numFmtId="0" fontId="2" fillId="0" borderId="10" xfId="0" applyFont="1" applyBorder="1" applyAlignment="1">
      <alignment vertical="center" wrapText="1"/>
    </xf>
    <xf numFmtId="0" fontId="12" fillId="2" borderId="0" xfId="0" applyFont="1" applyFill="1" applyAlignment="1">
      <alignment vertical="center" wrapText="1"/>
    </xf>
    <xf numFmtId="0" fontId="14" fillId="0" borderId="0" xfId="0" applyFont="1" applyAlignment="1">
      <alignment vertical="center" wrapText="1"/>
    </xf>
    <xf numFmtId="0" fontId="15" fillId="7" borderId="8" xfId="0" applyFont="1" applyFill="1" applyBorder="1" applyAlignment="1">
      <alignment horizontal="center" vertical="center" wrapText="1"/>
    </xf>
    <xf numFmtId="0" fontId="14" fillId="0" borderId="8" xfId="0" applyFont="1" applyBorder="1" applyAlignment="1">
      <alignment vertical="center" wrapText="1"/>
    </xf>
    <xf numFmtId="0" fontId="14" fillId="0" borderId="8" xfId="0" applyFont="1" applyBorder="1" applyAlignment="1">
      <alignment horizontal="left" vertical="center" wrapText="1"/>
    </xf>
    <xf numFmtId="0" fontId="18" fillId="8" borderId="8" xfId="0" applyFont="1" applyFill="1" applyBorder="1" applyAlignment="1">
      <alignment horizontal="center" vertical="center" wrapText="1"/>
    </xf>
    <xf numFmtId="0" fontId="19" fillId="0" borderId="8" xfId="0" applyFont="1" applyBorder="1" applyAlignment="1">
      <alignment horizontal="center" vertical="center" wrapText="1"/>
    </xf>
    <xf numFmtId="3" fontId="19" fillId="0" borderId="8" xfId="0" applyNumberFormat="1" applyFont="1" applyBorder="1" applyAlignment="1">
      <alignment horizontal="center" vertical="center" wrapText="1"/>
    </xf>
    <xf numFmtId="0" fontId="0" fillId="0" borderId="0" xfId="0" applyAlignment="1">
      <alignment vertical="center" wrapText="1"/>
    </xf>
    <xf numFmtId="0" fontId="13" fillId="0" borderId="0" xfId="0" applyFont="1" applyAlignment="1">
      <alignment vertical="center" wrapText="1"/>
    </xf>
    <xf numFmtId="0" fontId="20" fillId="7" borderId="9" xfId="0" applyFont="1" applyFill="1" applyBorder="1" applyAlignment="1">
      <alignment horizontal="right" vertical="center" wrapText="1" readingOrder="1"/>
    </xf>
    <xf numFmtId="0" fontId="9" fillId="2" borderId="2" xfId="0" applyFont="1" applyFill="1" applyBorder="1" applyAlignment="1">
      <alignment horizontal="justify" vertical="center" wrapText="1" readingOrder="1"/>
    </xf>
    <xf numFmtId="0" fontId="4" fillId="4" borderId="5" xfId="0" applyFont="1" applyFill="1" applyBorder="1" applyAlignment="1">
      <alignment horizontal="center" vertical="center" wrapText="1" readingOrder="1"/>
    </xf>
    <xf numFmtId="0" fontId="4" fillId="2" borderId="13" xfId="0" applyFont="1" applyFill="1" applyBorder="1" applyAlignment="1">
      <alignment horizontal="center" vertical="center" wrapText="1" readingOrder="1"/>
    </xf>
    <xf numFmtId="0" fontId="4" fillId="4" borderId="13" xfId="0" applyFont="1" applyFill="1" applyBorder="1" applyAlignment="1">
      <alignment horizontal="center" vertical="center" wrapText="1" readingOrder="1"/>
    </xf>
    <xf numFmtId="9" fontId="4" fillId="2" borderId="2" xfId="0" applyNumberFormat="1" applyFont="1" applyFill="1" applyBorder="1" applyAlignment="1">
      <alignment horizontal="center" vertical="center" wrapText="1" readingOrder="1"/>
    </xf>
    <xf numFmtId="0" fontId="13" fillId="0" borderId="14" xfId="0" applyFont="1" applyBorder="1" applyAlignment="1">
      <alignment vertical="center" wrapText="1"/>
    </xf>
    <xf numFmtId="9" fontId="13" fillId="0" borderId="13" xfId="0" applyNumberFormat="1" applyFont="1" applyBorder="1" applyAlignment="1">
      <alignment vertical="center" wrapText="1"/>
    </xf>
    <xf numFmtId="0" fontId="31" fillId="4" borderId="1" xfId="0" applyFont="1" applyFill="1" applyBorder="1" applyAlignment="1">
      <alignment horizontal="center" vertical="center" wrapText="1" readingOrder="1"/>
    </xf>
    <xf numFmtId="0" fontId="27" fillId="2" borderId="1" xfId="0" applyFont="1" applyFill="1" applyBorder="1" applyAlignment="1">
      <alignment horizontal="left" vertical="center" wrapText="1" readingOrder="1"/>
    </xf>
    <xf numFmtId="9" fontId="27" fillId="2" borderId="1" xfId="0" applyNumberFormat="1" applyFont="1" applyFill="1" applyBorder="1" applyAlignment="1">
      <alignment horizontal="left" vertical="center" wrapText="1" readingOrder="1"/>
    </xf>
    <xf numFmtId="0" fontId="31" fillId="4" borderId="5" xfId="0" applyFont="1" applyFill="1" applyBorder="1" applyAlignment="1">
      <alignment horizontal="center" vertical="center" wrapText="1" readingOrder="1"/>
    </xf>
    <xf numFmtId="10" fontId="7" fillId="17" borderId="8" xfId="1" applyNumberFormat="1" applyFont="1" applyFill="1" applyBorder="1" applyAlignment="1" applyProtection="1">
      <alignment horizontal="center" vertical="center" wrapText="1" readingOrder="1"/>
      <protection hidden="1"/>
    </xf>
    <xf numFmtId="0" fontId="7" fillId="17" borderId="8" xfId="0" applyFont="1" applyFill="1" applyBorder="1" applyAlignment="1" applyProtection="1">
      <alignment horizontal="center" vertical="center" wrapText="1" readingOrder="1"/>
      <protection hidden="1"/>
    </xf>
    <xf numFmtId="10" fontId="7" fillId="18" borderId="8" xfId="1" applyNumberFormat="1" applyFont="1" applyFill="1" applyBorder="1" applyAlignment="1" applyProtection="1">
      <alignment horizontal="center" vertical="center" wrapText="1" readingOrder="1"/>
      <protection hidden="1"/>
    </xf>
    <xf numFmtId="0" fontId="7" fillId="18" borderId="8" xfId="0" applyFont="1" applyFill="1" applyBorder="1" applyAlignment="1" applyProtection="1">
      <alignment horizontal="center" vertical="center" wrapText="1" readingOrder="1"/>
      <protection hidden="1"/>
    </xf>
    <xf numFmtId="0" fontId="16" fillId="6" borderId="8" xfId="0" applyFont="1" applyFill="1" applyBorder="1" applyAlignment="1" applyProtection="1">
      <alignment horizontal="center" vertical="center" wrapText="1" readingOrder="1"/>
      <protection hidden="1"/>
    </xf>
    <xf numFmtId="0" fontId="16" fillId="17" borderId="8"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13" fillId="2" borderId="13" xfId="0" applyFont="1" applyFill="1" applyBorder="1" applyAlignment="1">
      <alignment vertical="center" wrapText="1"/>
    </xf>
    <xf numFmtId="37" fontId="9" fillId="0" borderId="7" xfId="2" applyNumberFormat="1" applyFont="1" applyBorder="1" applyAlignment="1" applyProtection="1">
      <alignment horizontal="center" vertical="center" wrapText="1" readingOrder="1"/>
    </xf>
    <xf numFmtId="37" fontId="9" fillId="0" borderId="9" xfId="2" applyNumberFormat="1" applyFont="1" applyBorder="1" applyAlignment="1" applyProtection="1">
      <alignment horizontal="center" vertical="center" wrapText="1" readingOrder="1"/>
    </xf>
    <xf numFmtId="0" fontId="16" fillId="6"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4" fillId="0" borderId="0" xfId="0" applyFont="1" applyAlignment="1">
      <alignment vertical="center"/>
    </xf>
    <xf numFmtId="0" fontId="17" fillId="7" borderId="8" xfId="0" applyFont="1" applyFill="1" applyBorder="1" applyAlignment="1">
      <alignment horizontal="center" vertical="center" wrapText="1"/>
    </xf>
    <xf numFmtId="0" fontId="16" fillId="7" borderId="8" xfId="4" applyFont="1" applyFill="1" applyBorder="1" applyAlignment="1">
      <alignment horizontal="center" vertical="center"/>
    </xf>
    <xf numFmtId="0" fontId="11" fillId="7" borderId="8" xfId="4" applyFont="1" applyFill="1" applyBorder="1" applyAlignment="1">
      <alignment horizontal="center" vertical="center"/>
    </xf>
    <xf numFmtId="0" fontId="4" fillId="4" borderId="4" xfId="0" applyFont="1" applyFill="1" applyBorder="1" applyAlignment="1">
      <alignment horizontal="center" vertical="center" wrapText="1" readingOrder="1"/>
    </xf>
    <xf numFmtId="0" fontId="35" fillId="0" borderId="0" xfId="0" applyFont="1" applyAlignment="1" applyProtection="1">
      <alignment vertical="center" wrapText="1"/>
      <protection locked="0"/>
    </xf>
    <xf numFmtId="0" fontId="35" fillId="2" borderId="0" xfId="0" applyFont="1" applyFill="1" applyAlignment="1" applyProtection="1">
      <alignment vertical="center" wrapText="1"/>
      <protection locked="0"/>
    </xf>
    <xf numFmtId="0" fontId="23" fillId="0" borderId="0" xfId="0" applyFont="1" applyAlignment="1">
      <alignment horizontal="center" vertical="center" wrapText="1"/>
    </xf>
    <xf numFmtId="0" fontId="22"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9" fontId="14" fillId="0" borderId="0" xfId="0" applyNumberFormat="1" applyFont="1" applyAlignment="1">
      <alignment horizontal="center" vertical="center" wrapText="1"/>
    </xf>
    <xf numFmtId="0" fontId="25" fillId="27" borderId="0" xfId="0" applyFont="1" applyFill="1" applyAlignment="1">
      <alignment horizontal="center" vertical="center" wrapText="1"/>
    </xf>
    <xf numFmtId="0" fontId="23" fillId="28" borderId="0" xfId="0" applyFont="1" applyFill="1" applyAlignment="1">
      <alignment horizontal="center" vertical="center" wrapText="1"/>
    </xf>
    <xf numFmtId="0" fontId="22" fillId="28" borderId="0" xfId="0" applyFont="1" applyFill="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0" applyFont="1" applyAlignment="1">
      <alignment horizontal="center" vertical="center"/>
    </xf>
    <xf numFmtId="0" fontId="24" fillId="0" borderId="0" xfId="0" applyFont="1" applyAlignment="1">
      <alignment vertical="center" wrapText="1"/>
    </xf>
    <xf numFmtId="9" fontId="15" fillId="0" borderId="0" xfId="1" applyFont="1" applyFill="1" applyBorder="1" applyAlignment="1" applyProtection="1">
      <alignment horizontal="center" vertical="center" wrapText="1"/>
    </xf>
    <xf numFmtId="165" fontId="15" fillId="0" borderId="0" xfId="0" applyNumberFormat="1" applyFont="1" applyAlignment="1">
      <alignment horizontal="center" vertical="center" wrapText="1"/>
    </xf>
    <xf numFmtId="165" fontId="15" fillId="0" borderId="0" xfId="1" applyNumberFormat="1" applyFont="1" applyFill="1" applyBorder="1" applyAlignment="1">
      <alignment horizontal="center" vertical="center" wrapText="1"/>
    </xf>
    <xf numFmtId="3" fontId="24" fillId="0" borderId="0" xfId="0" applyNumberFormat="1" applyFont="1" applyAlignment="1">
      <alignment horizontal="center" vertical="center" wrapText="1"/>
    </xf>
    <xf numFmtId="3" fontId="14" fillId="0" borderId="0" xfId="0" applyNumberFormat="1" applyFont="1" applyAlignment="1">
      <alignment vertical="center" wrapText="1"/>
    </xf>
    <xf numFmtId="3" fontId="14" fillId="0" borderId="0" xfId="0" applyNumberFormat="1" applyFont="1" applyAlignment="1">
      <alignment horizontal="center" vertical="center" wrapText="1"/>
    </xf>
    <xf numFmtId="0" fontId="24" fillId="0" borderId="0" xfId="0" applyFont="1" applyAlignment="1">
      <alignment horizontal="center" vertical="center" wrapText="1"/>
    </xf>
    <xf numFmtId="3" fontId="24" fillId="0" borderId="0" xfId="0" applyNumberFormat="1" applyFont="1" applyAlignment="1">
      <alignment vertical="center" wrapText="1"/>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protection locked="0"/>
    </xf>
    <xf numFmtId="3" fontId="24" fillId="0" borderId="0" xfId="0" applyNumberFormat="1" applyFont="1" applyAlignment="1" applyProtection="1">
      <alignment vertical="center" wrapText="1"/>
      <protection locked="0"/>
    </xf>
    <xf numFmtId="165" fontId="25" fillId="0" borderId="0" xfId="0" applyNumberFormat="1" applyFont="1" applyAlignment="1" applyProtection="1">
      <alignment horizontal="center" vertical="center" wrapText="1"/>
      <protection locked="0"/>
    </xf>
    <xf numFmtId="0" fontId="7" fillId="27" borderId="0" xfId="0" applyFont="1" applyFill="1" applyAlignment="1">
      <alignment horizontal="center" vertical="center" wrapText="1"/>
    </xf>
    <xf numFmtId="0" fontId="29" fillId="28" borderId="0" xfId="0" applyFont="1" applyFill="1" applyAlignment="1">
      <alignment horizontal="center" vertical="center" wrapText="1"/>
    </xf>
    <xf numFmtId="0" fontId="29" fillId="23" borderId="13" xfId="0" applyFont="1" applyFill="1" applyBorder="1" applyAlignment="1" applyProtection="1">
      <alignment horizontal="center" vertical="center" wrapText="1"/>
      <protection locked="0"/>
    </xf>
    <xf numFmtId="0" fontId="4" fillId="4" borderId="2" xfId="0" applyFont="1" applyFill="1" applyBorder="1" applyAlignment="1">
      <alignment vertical="center" wrapText="1" readingOrder="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9" fontId="0" fillId="29" borderId="0" xfId="0" applyNumberFormat="1" applyFill="1" applyAlignment="1">
      <alignment horizontal="center" vertical="center" wrapText="1"/>
    </xf>
    <xf numFmtId="9" fontId="0" fillId="0" borderId="0" xfId="0" applyNumberFormat="1" applyAlignment="1">
      <alignment horizontal="center" vertical="center" wrapText="1"/>
    </xf>
    <xf numFmtId="0" fontId="33"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32" fillId="19" borderId="0" xfId="0" applyFont="1" applyFill="1" applyAlignment="1">
      <alignment horizontal="center" vertical="center" wrapText="1"/>
    </xf>
    <xf numFmtId="0" fontId="0" fillId="16" borderId="19" xfId="0" applyFill="1" applyBorder="1" applyAlignment="1">
      <alignment vertical="center" wrapText="1"/>
    </xf>
    <xf numFmtId="1" fontId="0" fillId="16" borderId="19" xfId="0" applyNumberFormat="1" applyFill="1" applyBorder="1" applyAlignment="1">
      <alignment horizontal="center" vertical="center" wrapText="1"/>
    </xf>
    <xf numFmtId="0" fontId="0" fillId="0" borderId="0" xfId="0" applyAlignment="1">
      <alignment horizontal="left" vertical="center"/>
    </xf>
    <xf numFmtId="0" fontId="25" fillId="30" borderId="8" xfId="0" applyFont="1" applyFill="1" applyBorder="1" applyAlignment="1" applyProtection="1">
      <alignment horizontal="center" vertical="center" wrapText="1" readingOrder="1"/>
      <protection hidden="1"/>
    </xf>
    <xf numFmtId="0" fontId="25" fillId="31" borderId="8" xfId="0" applyFont="1" applyFill="1" applyBorder="1" applyAlignment="1" applyProtection="1">
      <alignment horizontal="center" vertical="center" wrapText="1" readingOrder="1"/>
      <protection hidden="1"/>
    </xf>
    <xf numFmtId="0" fontId="25" fillId="6" borderId="8" xfId="0" applyFont="1" applyFill="1" applyBorder="1" applyAlignment="1">
      <alignment horizontal="center" vertical="center" wrapText="1" readingOrder="1"/>
    </xf>
    <xf numFmtId="0" fontId="25" fillId="4" borderId="8" xfId="0" applyFont="1" applyFill="1" applyBorder="1" applyAlignment="1" applyProtection="1">
      <alignment horizontal="center" vertical="center" wrapText="1" readingOrder="1"/>
      <protection hidden="1"/>
    </xf>
    <xf numFmtId="0" fontId="25" fillId="9" borderId="8" xfId="3" applyFont="1" applyFill="1" applyBorder="1" applyAlignment="1">
      <alignment horizontal="center" vertical="center" wrapText="1"/>
    </xf>
    <xf numFmtId="0" fontId="24" fillId="0" borderId="8" xfId="4" applyFont="1" applyBorder="1" applyAlignment="1">
      <alignment horizontal="center" vertical="center" wrapText="1"/>
    </xf>
    <xf numFmtId="0" fontId="0" fillId="0" borderId="0" xfId="0" pivotButton="1" applyAlignment="1">
      <alignment vertical="center"/>
    </xf>
    <xf numFmtId="0" fontId="39" fillId="17" borderId="8" xfId="0" applyFont="1" applyFill="1" applyBorder="1" applyAlignment="1" applyProtection="1">
      <alignment horizontal="center" vertical="center" wrapText="1" readingOrder="1"/>
      <protection hidden="1"/>
    </xf>
    <xf numFmtId="0" fontId="39" fillId="18" borderId="8" xfId="0" applyFont="1" applyFill="1" applyBorder="1" applyAlignment="1" applyProtection="1">
      <alignment horizontal="center" vertical="center" wrapText="1" readingOrder="1"/>
      <protection hidden="1"/>
    </xf>
    <xf numFmtId="0" fontId="39" fillId="6" borderId="8" xfId="0" applyFont="1" applyFill="1" applyBorder="1" applyAlignment="1">
      <alignment horizontal="center" vertical="center" wrapText="1"/>
    </xf>
    <xf numFmtId="0" fontId="40" fillId="17" borderId="8" xfId="0" applyFont="1" applyFill="1" applyBorder="1" applyAlignment="1" applyProtection="1">
      <alignment horizontal="center" vertical="center" wrapText="1" readingOrder="1"/>
      <protection hidden="1"/>
    </xf>
    <xf numFmtId="0" fontId="40" fillId="18" borderId="8" xfId="0" applyFont="1" applyFill="1" applyBorder="1" applyAlignment="1" applyProtection="1">
      <alignment horizontal="center" vertical="center" wrapText="1" readingOrder="1"/>
      <protection hidden="1"/>
    </xf>
    <xf numFmtId="0" fontId="40" fillId="6" borderId="8" xfId="0" applyFont="1" applyFill="1" applyBorder="1" applyAlignment="1">
      <alignment horizontal="center" vertical="center" wrapText="1"/>
    </xf>
    <xf numFmtId="0" fontId="41" fillId="17" borderId="8" xfId="0" applyFont="1" applyFill="1" applyBorder="1" applyAlignment="1" applyProtection="1">
      <alignment horizontal="center" vertical="center" wrapText="1" readingOrder="1"/>
      <protection hidden="1"/>
    </xf>
    <xf numFmtId="0" fontId="41" fillId="18" borderId="8" xfId="0" applyFont="1" applyFill="1" applyBorder="1" applyAlignment="1" applyProtection="1">
      <alignment horizontal="center" vertical="center" wrapText="1" readingOrder="1"/>
      <protection hidden="1"/>
    </xf>
    <xf numFmtId="0" fontId="41" fillId="6" borderId="8"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2" fillId="28" borderId="13" xfId="0" applyFont="1" applyFill="1" applyBorder="1" applyAlignment="1">
      <alignment horizontal="center" vertical="center" wrapText="1"/>
    </xf>
    <xf numFmtId="0" fontId="22" fillId="32" borderId="13" xfId="0" applyFont="1" applyFill="1" applyBorder="1" applyAlignment="1">
      <alignment horizontal="center" vertical="center" wrapText="1"/>
    </xf>
    <xf numFmtId="0" fontId="23" fillId="28" borderId="13" xfId="0" applyFont="1" applyFill="1" applyBorder="1" applyAlignment="1">
      <alignment horizontal="center" vertical="center" wrapText="1"/>
    </xf>
    <xf numFmtId="1" fontId="0" fillId="16" borderId="0" xfId="0" applyNumberFormat="1" applyFill="1" applyAlignment="1">
      <alignment horizontal="center" vertical="center" wrapText="1"/>
    </xf>
    <xf numFmtId="0" fontId="25" fillId="17" borderId="8" xfId="0" applyFont="1" applyFill="1" applyBorder="1" applyAlignment="1" applyProtection="1">
      <alignment horizontal="center" vertical="center" wrapText="1" readingOrder="1"/>
      <protection hidden="1"/>
    </xf>
    <xf numFmtId="0" fontId="15" fillId="8" borderId="8" xfId="0" applyFont="1" applyFill="1" applyBorder="1" applyAlignment="1">
      <alignment horizontal="center" vertical="center" wrapText="1"/>
    </xf>
    <xf numFmtId="10" fontId="7" fillId="15" borderId="8" xfId="1" applyNumberFormat="1" applyFont="1" applyFill="1" applyBorder="1" applyAlignment="1" applyProtection="1">
      <alignment horizontal="center" vertical="center" wrapText="1" readingOrder="1"/>
      <protection hidden="1"/>
    </xf>
    <xf numFmtId="0" fontId="7" fillId="15" borderId="8" xfId="0" applyFont="1" applyFill="1" applyBorder="1" applyAlignment="1" applyProtection="1">
      <alignment horizontal="center" vertical="center" wrapText="1" readingOrder="1"/>
      <protection hidden="1"/>
    </xf>
    <xf numFmtId="10" fontId="7" fillId="14" borderId="8" xfId="1" applyNumberFormat="1" applyFont="1" applyFill="1" applyBorder="1" applyAlignment="1">
      <alignment horizontal="center" vertical="center" wrapText="1"/>
    </xf>
    <xf numFmtId="0" fontId="7" fillId="14" borderId="8" xfId="3" applyFont="1" applyFill="1" applyBorder="1" applyAlignment="1">
      <alignment horizontal="center" vertical="center" wrapText="1"/>
    </xf>
    <xf numFmtId="10" fontId="7" fillId="4" borderId="8" xfId="1" applyNumberFormat="1" applyFont="1" applyFill="1" applyBorder="1" applyAlignment="1" applyProtection="1">
      <alignment horizontal="center" vertical="center" wrapText="1" readingOrder="1"/>
      <protection hidden="1"/>
    </xf>
    <xf numFmtId="0" fontId="7" fillId="4" borderId="8" xfId="0" applyFont="1" applyFill="1" applyBorder="1" applyAlignment="1" applyProtection="1">
      <alignment horizontal="center" vertical="center" wrapText="1" readingOrder="1"/>
      <protection hidden="1"/>
    </xf>
    <xf numFmtId="0" fontId="16" fillId="14" borderId="8" xfId="3" applyFont="1" applyFill="1" applyBorder="1" applyAlignment="1">
      <alignment horizontal="center" vertical="center" wrapText="1"/>
    </xf>
    <xf numFmtId="0" fontId="0" fillId="0" borderId="0" xfId="0" applyAlignment="1">
      <alignment horizontal="center" vertical="center"/>
    </xf>
    <xf numFmtId="0" fontId="14" fillId="0" borderId="13" xfId="0" applyFont="1" applyBorder="1" applyAlignment="1">
      <alignment horizontal="center" vertical="center" wrapText="1"/>
    </xf>
    <xf numFmtId="0" fontId="15" fillId="6" borderId="13" xfId="0" applyFont="1" applyFill="1" applyBorder="1" applyAlignment="1">
      <alignment horizontal="center" vertical="center" wrapText="1"/>
    </xf>
    <xf numFmtId="0" fontId="14" fillId="0" borderId="13" xfId="0" applyFont="1" applyBorder="1" applyAlignment="1">
      <alignment vertical="center" wrapText="1"/>
    </xf>
    <xf numFmtId="9" fontId="14" fillId="0" borderId="13" xfId="1" applyFont="1" applyBorder="1" applyAlignment="1">
      <alignment horizontal="center" vertical="center" wrapText="1"/>
    </xf>
    <xf numFmtId="0" fontId="22" fillId="23" borderId="13" xfId="0" applyFont="1" applyFill="1" applyBorder="1" applyAlignment="1" applyProtection="1">
      <alignment horizontal="center" vertical="center" wrapText="1"/>
      <protection locked="0"/>
    </xf>
    <xf numFmtId="0" fontId="24" fillId="0" borderId="13" xfId="0" applyFont="1" applyBorder="1" applyAlignment="1">
      <alignment horizontal="center" vertical="center" wrapText="1"/>
    </xf>
    <xf numFmtId="165" fontId="14" fillId="0" borderId="13" xfId="1" applyNumberFormat="1" applyFont="1" applyBorder="1" applyAlignment="1">
      <alignment horizontal="center" vertical="center" wrapText="1"/>
    </xf>
    <xf numFmtId="0" fontId="24" fillId="0" borderId="13" xfId="1" applyNumberFormat="1" applyFont="1" applyFill="1" applyBorder="1" applyAlignment="1">
      <alignment horizontal="center" vertical="center" wrapText="1"/>
    </xf>
    <xf numFmtId="0" fontId="24" fillId="0" borderId="13" xfId="1" applyNumberFormat="1" applyFont="1" applyBorder="1" applyAlignment="1">
      <alignment horizontal="center" vertical="center" wrapText="1"/>
    </xf>
    <xf numFmtId="15" fontId="24" fillId="0" borderId="13" xfId="0" applyNumberFormat="1" applyFont="1" applyBorder="1" applyAlignment="1">
      <alignment horizontal="center" vertical="center" wrapText="1"/>
    </xf>
    <xf numFmtId="9" fontId="24" fillId="0" borderId="13" xfId="1" applyFont="1" applyBorder="1" applyAlignment="1">
      <alignment horizontal="center" vertical="center" wrapText="1"/>
    </xf>
    <xf numFmtId="14" fontId="24" fillId="0" borderId="13" xfId="0" applyNumberFormat="1" applyFont="1"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vertical="center"/>
    </xf>
    <xf numFmtId="0" fontId="33" fillId="27" borderId="13" xfId="0" applyFont="1" applyFill="1" applyBorder="1" applyAlignment="1">
      <alignment horizontal="center" vertical="center"/>
    </xf>
    <xf numFmtId="0" fontId="33" fillId="27" borderId="13" xfId="0" applyFont="1" applyFill="1" applyBorder="1" applyAlignment="1">
      <alignment horizontal="center" vertical="center" wrapText="1"/>
    </xf>
    <xf numFmtId="0" fontId="0" fillId="4" borderId="13" xfId="0" applyFill="1" applyBorder="1" applyAlignment="1">
      <alignment vertical="center" wrapText="1"/>
    </xf>
    <xf numFmtId="0" fontId="0" fillId="4" borderId="13" xfId="0" applyFill="1" applyBorder="1" applyAlignment="1">
      <alignment vertical="center"/>
    </xf>
    <xf numFmtId="0" fontId="24" fillId="0" borderId="0" xfId="0" applyFont="1" applyAlignment="1">
      <alignment horizontal="left" vertical="center" wrapText="1"/>
    </xf>
    <xf numFmtId="0" fontId="0" fillId="0" borderId="13" xfId="0" applyBorder="1" applyAlignment="1">
      <alignment horizontal="center" vertical="center"/>
    </xf>
    <xf numFmtId="0" fontId="25" fillId="0" borderId="0" xfId="0" applyFont="1" applyAlignment="1">
      <alignment vertical="center" wrapText="1"/>
    </xf>
    <xf numFmtId="3" fontId="11" fillId="0" borderId="0" xfId="0" applyNumberFormat="1" applyFont="1" applyAlignment="1">
      <alignment vertical="center" wrapText="1"/>
    </xf>
    <xf numFmtId="3" fontId="11" fillId="0" borderId="0" xfId="0" applyNumberFormat="1" applyFont="1" applyAlignment="1">
      <alignment horizontal="center" vertical="center" wrapText="1"/>
    </xf>
    <xf numFmtId="3" fontId="24"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9" fontId="24" fillId="0" borderId="0" xfId="0" applyNumberFormat="1" applyFont="1" applyAlignment="1">
      <alignment horizontal="center" vertical="center" wrapText="1"/>
    </xf>
    <xf numFmtId="165" fontId="24" fillId="0" borderId="0" xfId="1" applyNumberFormat="1" applyFont="1" applyFill="1" applyBorder="1" applyAlignment="1" applyProtection="1">
      <alignment horizontal="center" vertical="center" wrapText="1"/>
    </xf>
    <xf numFmtId="165" fontId="24" fillId="0" borderId="0" xfId="0" applyNumberFormat="1" applyFont="1" applyAlignment="1">
      <alignment horizontal="center" vertical="center" wrapText="1"/>
    </xf>
    <xf numFmtId="0" fontId="25" fillId="0" borderId="0" xfId="0" applyFont="1" applyAlignment="1">
      <alignment horizontal="center" vertical="center"/>
    </xf>
    <xf numFmtId="0" fontId="25" fillId="17" borderId="0" xfId="0" applyFont="1" applyFill="1" applyAlignment="1">
      <alignment horizontal="center" vertical="center"/>
    </xf>
    <xf numFmtId="0" fontId="24" fillId="0" borderId="0" xfId="0" applyFont="1" applyAlignment="1" applyProtection="1">
      <alignment horizontal="left" vertical="center" wrapText="1"/>
      <protection locked="0"/>
    </xf>
    <xf numFmtId="17" fontId="24" fillId="0" borderId="0" xfId="0" applyNumberFormat="1" applyFont="1" applyAlignment="1">
      <alignment horizontal="center" vertical="center" wrapText="1"/>
    </xf>
    <xf numFmtId="17" fontId="24" fillId="0" borderId="0" xfId="0" applyNumberFormat="1" applyFont="1" applyAlignment="1" applyProtection="1">
      <alignment horizontal="center" vertical="center" wrapText="1"/>
      <protection locked="0"/>
    </xf>
    <xf numFmtId="0" fontId="4" fillId="3" borderId="1" xfId="0" applyFont="1" applyFill="1" applyBorder="1" applyAlignment="1">
      <alignment horizontal="center" vertical="center" wrapText="1" readingOrder="1"/>
    </xf>
    <xf numFmtId="0" fontId="4" fillId="3" borderId="2" xfId="0" applyFont="1" applyFill="1" applyBorder="1" applyAlignment="1">
      <alignment horizontal="center" vertical="center" wrapText="1" readingOrder="1"/>
    </xf>
    <xf numFmtId="0" fontId="4" fillId="3" borderId="3" xfId="0" applyFont="1" applyFill="1" applyBorder="1" applyAlignment="1">
      <alignment horizontal="center" vertical="center" wrapText="1" readingOrder="1"/>
    </xf>
    <xf numFmtId="0" fontId="4" fillId="3" borderId="4" xfId="0" applyFont="1" applyFill="1" applyBorder="1" applyAlignment="1">
      <alignment horizontal="center" vertical="center" wrapText="1" readingOrder="1"/>
    </xf>
    <xf numFmtId="0" fontId="5" fillId="4" borderId="2" xfId="0" applyFont="1" applyFill="1" applyBorder="1" applyAlignment="1">
      <alignment horizontal="center" vertical="center" wrapText="1" readingOrder="1"/>
    </xf>
    <xf numFmtId="0" fontId="5" fillId="4" borderId="3" xfId="0" applyFont="1" applyFill="1" applyBorder="1" applyAlignment="1">
      <alignment horizontal="center" vertical="center" wrapText="1" readingOrder="1"/>
    </xf>
    <xf numFmtId="0" fontId="5" fillId="4" borderId="4"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7" fillId="3" borderId="5" xfId="0" applyFont="1" applyFill="1" applyBorder="1" applyAlignment="1">
      <alignment horizontal="center" vertical="center" wrapText="1" readingOrder="1"/>
    </xf>
    <xf numFmtId="0" fontId="7" fillId="3" borderId="6" xfId="0" applyFont="1" applyFill="1" applyBorder="1" applyAlignment="1">
      <alignment horizontal="center" vertical="center" wrapText="1" readingOrder="1"/>
    </xf>
    <xf numFmtId="0" fontId="31" fillId="4" borderId="5" xfId="0" applyFont="1" applyFill="1" applyBorder="1" applyAlignment="1">
      <alignment horizontal="center" vertical="center" wrapText="1" readingOrder="1"/>
    </xf>
    <xf numFmtId="0" fontId="31" fillId="4" borderId="15" xfId="0" applyFont="1" applyFill="1" applyBorder="1" applyAlignment="1">
      <alignment horizontal="center" vertical="center" wrapText="1" readingOrder="1"/>
    </xf>
    <xf numFmtId="0" fontId="31" fillId="4" borderId="6" xfId="0" applyFont="1" applyFill="1" applyBorder="1" applyAlignment="1">
      <alignment horizontal="center" vertical="center" wrapText="1" readingOrder="1"/>
    </xf>
    <xf numFmtId="0" fontId="15" fillId="7" borderId="11" xfId="0" applyFont="1" applyFill="1" applyBorder="1" applyAlignment="1">
      <alignment horizontal="center" vertical="center"/>
    </xf>
    <xf numFmtId="0" fontId="31" fillId="4" borderId="2" xfId="0" applyFont="1" applyFill="1" applyBorder="1" applyAlignment="1">
      <alignment horizontal="center" vertical="center" wrapText="1" readingOrder="1"/>
    </xf>
    <xf numFmtId="0" fontId="31" fillId="4" borderId="4" xfId="0" applyFont="1" applyFill="1" applyBorder="1" applyAlignment="1">
      <alignment horizontal="center" vertical="center" wrapText="1" readingOrder="1"/>
    </xf>
    <xf numFmtId="0" fontId="13" fillId="0" borderId="13" xfId="0" applyFont="1" applyBorder="1" applyAlignment="1">
      <alignment horizontal="center" vertical="center" wrapText="1"/>
    </xf>
    <xf numFmtId="0" fontId="4" fillId="2" borderId="1" xfId="0" applyFont="1" applyFill="1" applyBorder="1" applyAlignment="1">
      <alignment horizontal="center" vertical="center" wrapText="1" readingOrder="1"/>
    </xf>
    <xf numFmtId="0" fontId="36" fillId="21" borderId="0" xfId="0" applyFont="1" applyFill="1" applyAlignment="1" applyProtection="1">
      <alignment horizontal="center" vertical="center" wrapText="1"/>
      <protection locked="0"/>
    </xf>
    <xf numFmtId="0" fontId="36" fillId="21" borderId="21" xfId="0" applyFont="1" applyFill="1" applyBorder="1" applyAlignment="1" applyProtection="1">
      <alignment horizontal="center" vertical="center" wrapText="1"/>
      <protection locked="0"/>
    </xf>
    <xf numFmtId="0" fontId="29" fillId="10" borderId="13" xfId="0" applyFont="1" applyFill="1" applyBorder="1" applyAlignment="1" applyProtection="1">
      <alignment horizontal="center" vertical="center" wrapText="1"/>
      <protection locked="0"/>
    </xf>
    <xf numFmtId="0" fontId="29" fillId="10" borderId="18" xfId="0" applyFont="1" applyFill="1" applyBorder="1" applyAlignment="1" applyProtection="1">
      <alignment horizontal="center" vertical="center" wrapText="1"/>
      <protection locked="0"/>
    </xf>
    <xf numFmtId="0" fontId="34" fillId="11" borderId="14" xfId="0" applyFont="1" applyFill="1" applyBorder="1" applyAlignment="1" applyProtection="1">
      <alignment horizontal="center" vertical="center" wrapText="1"/>
      <protection locked="0"/>
    </xf>
    <xf numFmtId="0" fontId="34" fillId="11" borderId="17" xfId="0" applyFont="1" applyFill="1" applyBorder="1" applyAlignment="1" applyProtection="1">
      <alignment horizontal="center" vertical="center" wrapText="1"/>
      <protection locked="0"/>
    </xf>
    <xf numFmtId="0" fontId="34" fillId="11" borderId="18" xfId="0" applyFont="1" applyFill="1" applyBorder="1" applyAlignment="1" applyProtection="1">
      <alignment horizontal="center" vertical="center" wrapText="1"/>
      <protection locked="0"/>
    </xf>
    <xf numFmtId="0" fontId="42" fillId="27" borderId="22" xfId="0" applyFont="1" applyFill="1" applyBorder="1" applyAlignment="1" applyProtection="1">
      <alignment horizontal="center" vertical="center" wrapText="1"/>
      <protection locked="0"/>
    </xf>
    <xf numFmtId="0" fontId="29" fillId="28" borderId="22" xfId="0" applyFont="1" applyFill="1" applyBorder="1" applyAlignment="1" applyProtection="1">
      <alignment horizontal="center" vertical="center" wrapText="1"/>
      <protection locked="0"/>
    </xf>
    <xf numFmtId="0" fontId="29" fillId="19" borderId="25" xfId="0" applyFont="1" applyFill="1" applyBorder="1" applyAlignment="1">
      <alignment horizontal="center" vertical="center" wrapText="1"/>
    </xf>
    <xf numFmtId="0" fontId="22" fillId="21" borderId="22" xfId="0" applyFont="1" applyFill="1" applyBorder="1" applyAlignment="1" applyProtection="1">
      <alignment horizontal="center" vertical="center" wrapText="1"/>
      <protection locked="0"/>
    </xf>
    <xf numFmtId="0" fontId="34" fillId="12" borderId="14" xfId="0" applyFont="1" applyFill="1" applyBorder="1" applyAlignment="1" applyProtection="1">
      <alignment horizontal="center" vertical="center" wrapText="1"/>
      <protection locked="0"/>
    </xf>
    <xf numFmtId="0" fontId="34" fillId="12" borderId="18" xfId="0" applyFont="1" applyFill="1" applyBorder="1" applyAlignment="1" applyProtection="1">
      <alignment horizontal="center" vertical="center" wrapText="1"/>
      <protection locked="0"/>
    </xf>
    <xf numFmtId="0" fontId="34" fillId="13" borderId="14" xfId="0" applyFont="1" applyFill="1" applyBorder="1" applyAlignment="1" applyProtection="1">
      <alignment horizontal="center" vertical="center" wrapText="1"/>
      <protection locked="0"/>
    </xf>
    <xf numFmtId="0" fontId="34" fillId="13" borderId="17" xfId="0" applyFont="1" applyFill="1" applyBorder="1" applyAlignment="1" applyProtection="1">
      <alignment horizontal="center" vertical="center" wrapText="1"/>
      <protection locked="0"/>
    </xf>
    <xf numFmtId="0" fontId="34" fillId="13" borderId="18" xfId="0" applyFont="1" applyFill="1" applyBorder="1" applyAlignment="1" applyProtection="1">
      <alignment horizontal="center" vertical="center" wrapText="1"/>
      <protection locked="0"/>
    </xf>
    <xf numFmtId="0" fontId="34" fillId="25" borderId="13" xfId="0" applyFont="1" applyFill="1" applyBorder="1" applyAlignment="1" applyProtection="1">
      <alignment horizontal="center" vertical="center" wrapText="1"/>
      <protection locked="0"/>
    </xf>
    <xf numFmtId="0" fontId="34" fillId="13" borderId="13" xfId="0" applyFont="1" applyFill="1" applyBorder="1" applyAlignment="1" applyProtection="1">
      <alignment horizontal="center" vertical="center" wrapText="1"/>
      <protection locked="0"/>
    </xf>
    <xf numFmtId="0" fontId="34" fillId="20" borderId="13" xfId="0" applyFont="1" applyFill="1" applyBorder="1" applyAlignment="1" applyProtection="1">
      <alignment horizontal="center" vertical="center" wrapText="1"/>
      <protection locked="0"/>
    </xf>
    <xf numFmtId="0" fontId="34" fillId="26" borderId="14" xfId="0" applyFont="1" applyFill="1" applyBorder="1" applyAlignment="1" applyProtection="1">
      <alignment horizontal="center" vertical="center" wrapText="1"/>
      <protection locked="0"/>
    </xf>
    <xf numFmtId="0" fontId="34" fillId="26" borderId="17" xfId="0" applyFont="1" applyFill="1" applyBorder="1" applyAlignment="1" applyProtection="1">
      <alignment horizontal="center" vertical="center" wrapText="1"/>
      <protection locked="0"/>
    </xf>
    <xf numFmtId="0" fontId="34" fillId="26" borderId="18" xfId="0" applyFont="1" applyFill="1" applyBorder="1" applyAlignment="1" applyProtection="1">
      <alignment horizontal="center" vertical="center" wrapText="1"/>
      <protection locked="0"/>
    </xf>
    <xf numFmtId="0" fontId="36" fillId="21" borderId="23" xfId="0" applyFont="1" applyFill="1" applyBorder="1" applyAlignment="1" applyProtection="1">
      <alignment horizontal="center" vertical="center" wrapText="1"/>
      <protection locked="0"/>
    </xf>
    <xf numFmtId="0" fontId="36" fillId="21" borderId="24" xfId="0" applyFont="1" applyFill="1" applyBorder="1" applyAlignment="1" applyProtection="1">
      <alignment horizontal="center" vertical="center" wrapText="1"/>
      <protection locked="0"/>
    </xf>
    <xf numFmtId="0" fontId="29" fillId="22" borderId="13" xfId="0" applyFont="1" applyFill="1" applyBorder="1" applyAlignment="1" applyProtection="1">
      <alignment horizontal="center" vertical="center" wrapText="1"/>
      <protection locked="0"/>
    </xf>
    <xf numFmtId="0" fontId="29" fillId="23" borderId="13" xfId="0" applyFont="1" applyFill="1" applyBorder="1" applyAlignment="1" applyProtection="1">
      <alignment horizontal="center" vertical="center" wrapText="1"/>
      <protection locked="0"/>
    </xf>
    <xf numFmtId="0" fontId="34" fillId="24" borderId="14" xfId="0" applyFont="1" applyFill="1" applyBorder="1" applyAlignment="1" applyProtection="1">
      <alignment horizontal="center" vertical="center" wrapText="1"/>
      <protection locked="0"/>
    </xf>
    <xf numFmtId="0" fontId="34" fillId="24" borderId="17" xfId="0" applyFont="1" applyFill="1" applyBorder="1" applyAlignment="1" applyProtection="1">
      <alignment horizontal="center" vertical="center" wrapText="1"/>
      <protection locked="0"/>
    </xf>
    <xf numFmtId="0" fontId="34" fillId="24" borderId="18" xfId="0" applyFont="1" applyFill="1" applyBorder="1" applyAlignment="1" applyProtection="1">
      <alignment horizontal="center" vertical="center" wrapText="1"/>
      <protection locked="0"/>
    </xf>
    <xf numFmtId="0" fontId="23" fillId="11" borderId="14" xfId="0" applyFont="1" applyFill="1" applyBorder="1" applyAlignment="1" applyProtection="1">
      <alignment horizontal="center" vertical="center" wrapText="1"/>
      <protection locked="0"/>
    </xf>
    <xf numFmtId="0" fontId="23" fillId="11" borderId="17" xfId="0" applyFont="1" applyFill="1" applyBorder="1" applyAlignment="1" applyProtection="1">
      <alignment horizontal="center" vertical="center" wrapText="1"/>
      <protection locked="0"/>
    </xf>
    <xf numFmtId="0" fontId="23" fillId="11" borderId="18" xfId="0" applyFont="1" applyFill="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4" fillId="0" borderId="13" xfId="0" applyFont="1" applyBorder="1" applyAlignment="1">
      <alignment horizontal="left" vertical="center" wrapText="1"/>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23" fillId="26" borderId="14" xfId="0" applyFont="1" applyFill="1" applyBorder="1" applyAlignment="1" applyProtection="1">
      <alignment horizontal="center" vertical="center" wrapText="1"/>
      <protection locked="0"/>
    </xf>
    <xf numFmtId="0" fontId="23" fillId="26" borderId="17" xfId="0" applyFont="1" applyFill="1" applyBorder="1" applyAlignment="1" applyProtection="1">
      <alignment horizontal="center" vertical="center" wrapText="1"/>
      <protection locked="0"/>
    </xf>
    <xf numFmtId="0" fontId="23" fillId="26" borderId="18" xfId="0" applyFont="1" applyFill="1" applyBorder="1" applyAlignment="1" applyProtection="1">
      <alignment horizontal="center" vertical="center" wrapText="1"/>
      <protection locked="0"/>
    </xf>
    <xf numFmtId="0" fontId="23" fillId="24" borderId="14" xfId="0" applyFont="1" applyFill="1" applyBorder="1" applyAlignment="1" applyProtection="1">
      <alignment horizontal="center" vertical="center" wrapText="1"/>
      <protection locked="0"/>
    </xf>
    <xf numFmtId="0" fontId="23" fillId="24" borderId="17" xfId="0" applyFont="1" applyFill="1" applyBorder="1" applyAlignment="1" applyProtection="1">
      <alignment horizontal="center" vertical="center" wrapText="1"/>
      <protection locked="0"/>
    </xf>
    <xf numFmtId="0" fontId="23" fillId="20" borderId="13" xfId="0" applyFont="1" applyFill="1" applyBorder="1" applyAlignment="1" applyProtection="1">
      <alignment horizontal="center" vertical="center" wrapText="1"/>
      <protection locked="0"/>
    </xf>
    <xf numFmtId="0" fontId="23" fillId="25" borderId="13" xfId="0" applyFont="1" applyFill="1" applyBorder="1" applyAlignment="1" applyProtection="1">
      <alignment horizontal="center" vertical="center" wrapText="1"/>
      <protection locked="0"/>
    </xf>
    <xf numFmtId="0" fontId="23" fillId="13" borderId="13" xfId="0" applyFont="1" applyFill="1" applyBorder="1" applyAlignment="1" applyProtection="1">
      <alignment horizontal="center" vertical="center" wrapText="1"/>
      <protection locked="0"/>
    </xf>
    <xf numFmtId="0" fontId="23" fillId="24" borderId="13" xfId="0" applyFont="1" applyFill="1" applyBorder="1" applyAlignment="1" applyProtection="1">
      <alignment horizontal="center" vertical="center" wrapText="1"/>
      <protection locked="0"/>
    </xf>
    <xf numFmtId="0" fontId="22" fillId="22" borderId="14" xfId="0" applyFont="1" applyFill="1" applyBorder="1" applyAlignment="1" applyProtection="1">
      <alignment horizontal="center" vertical="center" wrapText="1"/>
      <protection locked="0"/>
    </xf>
    <xf numFmtId="0" fontId="22" fillId="22" borderId="17" xfId="0" applyFont="1" applyFill="1" applyBorder="1" applyAlignment="1" applyProtection="1">
      <alignment horizontal="center" vertical="center" wrapText="1"/>
      <protection locked="0"/>
    </xf>
    <xf numFmtId="0" fontId="22" fillId="22" borderId="18" xfId="0" applyFont="1" applyFill="1" applyBorder="1" applyAlignment="1" applyProtection="1">
      <alignment horizontal="center" vertical="center" wrapText="1"/>
      <protection locked="0"/>
    </xf>
    <xf numFmtId="0" fontId="22" fillId="23" borderId="14" xfId="0" applyFont="1" applyFill="1" applyBorder="1" applyAlignment="1" applyProtection="1">
      <alignment horizontal="center" vertical="center" wrapText="1"/>
      <protection locked="0"/>
    </xf>
    <xf numFmtId="0" fontId="22" fillId="23" borderId="17" xfId="0" applyFont="1" applyFill="1" applyBorder="1" applyAlignment="1" applyProtection="1">
      <alignment horizontal="center" vertical="center" wrapText="1"/>
      <protection locked="0"/>
    </xf>
    <xf numFmtId="0" fontId="22" fillId="23" borderId="18" xfId="0" applyFont="1" applyFill="1" applyBorder="1" applyAlignment="1" applyProtection="1">
      <alignment horizontal="center" vertical="center" wrapText="1"/>
      <protection locked="0"/>
    </xf>
    <xf numFmtId="0" fontId="23" fillId="25" borderId="14" xfId="0" applyFont="1" applyFill="1" applyBorder="1" applyAlignment="1" applyProtection="1">
      <alignment horizontal="center" vertical="center" wrapText="1"/>
      <protection locked="0"/>
    </xf>
    <xf numFmtId="0" fontId="23" fillId="25" borderId="17" xfId="0" applyFont="1" applyFill="1" applyBorder="1" applyAlignment="1" applyProtection="1">
      <alignment horizontal="center" vertical="center" wrapText="1"/>
      <protection locked="0"/>
    </xf>
    <xf numFmtId="0" fontId="23" fillId="25" borderId="18"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4" fillId="0" borderId="20" xfId="0" applyFont="1" applyBorder="1" applyAlignment="1">
      <alignment horizontal="center" vertical="center" wrapText="1"/>
    </xf>
    <xf numFmtId="0" fontId="14" fillId="0" borderId="0" xfId="0" applyFont="1" applyAlignment="1">
      <alignment horizontal="left" vertical="center" wrapText="1"/>
    </xf>
    <xf numFmtId="0" fontId="23" fillId="13" borderId="14" xfId="0" applyFont="1" applyFill="1" applyBorder="1" applyAlignment="1" applyProtection="1">
      <alignment horizontal="center" vertical="center" wrapText="1"/>
      <protection locked="0"/>
    </xf>
    <xf numFmtId="0" fontId="23" fillId="13" borderId="17" xfId="0" applyFont="1" applyFill="1" applyBorder="1" applyAlignment="1" applyProtection="1">
      <alignment horizontal="center" vertical="center" wrapText="1"/>
      <protection locked="0"/>
    </xf>
    <xf numFmtId="0" fontId="23" fillId="13" borderId="18" xfId="0" applyFont="1" applyFill="1" applyBorder="1" applyAlignment="1" applyProtection="1">
      <alignment horizontal="center" vertical="center" wrapText="1"/>
      <protection locked="0"/>
    </xf>
    <xf numFmtId="0" fontId="22" fillId="10" borderId="13" xfId="0" applyFont="1" applyFill="1" applyBorder="1" applyAlignment="1" applyProtection="1">
      <alignment horizontal="center" vertical="center" wrapText="1"/>
      <protection locked="0"/>
    </xf>
    <xf numFmtId="0" fontId="23" fillId="12" borderId="14" xfId="0" applyFont="1" applyFill="1" applyBorder="1" applyAlignment="1" applyProtection="1">
      <alignment horizontal="center" vertical="center" wrapText="1"/>
      <protection locked="0"/>
    </xf>
    <xf numFmtId="0" fontId="23" fillId="12" borderId="18" xfId="0" applyFont="1" applyFill="1" applyBorder="1" applyAlignment="1" applyProtection="1">
      <alignment horizontal="center" vertical="center" wrapText="1"/>
      <protection locked="0"/>
    </xf>
    <xf numFmtId="0" fontId="0" fillId="4" borderId="26" xfId="0" applyFill="1" applyBorder="1" applyAlignment="1">
      <alignment horizontal="left" vertical="center" wrapText="1"/>
    </xf>
    <xf numFmtId="0" fontId="0" fillId="4" borderId="28" xfId="0" applyFill="1" applyBorder="1" applyAlignment="1">
      <alignment horizontal="left" vertical="center" wrapText="1"/>
    </xf>
    <xf numFmtId="0" fontId="0" fillId="4" borderId="27" xfId="0" applyFill="1" applyBorder="1" applyAlignment="1">
      <alignment horizontal="left" vertical="center" wrapText="1"/>
    </xf>
    <xf numFmtId="0" fontId="33" fillId="33" borderId="13" xfId="0" applyFont="1" applyFill="1" applyBorder="1" applyAlignment="1">
      <alignment horizontal="center"/>
    </xf>
    <xf numFmtId="0" fontId="0" fillId="0" borderId="13" xfId="0" applyBorder="1" applyAlignment="1">
      <alignment horizontal="left" vertical="center"/>
    </xf>
    <xf numFmtId="0" fontId="0" fillId="0" borderId="13" xfId="0" applyBorder="1" applyAlignment="1">
      <alignment horizontal="left" vertical="center" wrapText="1"/>
    </xf>
    <xf numFmtId="0" fontId="38" fillId="7" borderId="16" xfId="0" applyFont="1" applyFill="1" applyBorder="1" applyAlignment="1">
      <alignment horizontal="center" vertical="center" textRotation="90" wrapText="1"/>
    </xf>
    <xf numFmtId="9" fontId="37" fillId="29" borderId="0" xfId="0" applyNumberFormat="1" applyFont="1" applyFill="1" applyAlignment="1">
      <alignment horizontal="center" vertical="center" wrapText="1"/>
    </xf>
    <xf numFmtId="0" fontId="38" fillId="7" borderId="12" xfId="0" applyFont="1" applyFill="1" applyBorder="1" applyAlignment="1">
      <alignment horizontal="center" vertical="center" wrapText="1"/>
    </xf>
    <xf numFmtId="0" fontId="45" fillId="7" borderId="11" xfId="0" applyFont="1" applyFill="1" applyBorder="1" applyAlignment="1">
      <alignment horizontal="center" vertical="center" wrapText="1"/>
    </xf>
    <xf numFmtId="0" fontId="44" fillId="7" borderId="11" xfId="0" applyFont="1" applyFill="1" applyBorder="1" applyAlignment="1">
      <alignment horizontal="center" vertical="center" wrapText="1"/>
    </xf>
    <xf numFmtId="9" fontId="0" fillId="0" borderId="0" xfId="0" applyNumberFormat="1" applyAlignment="1">
      <alignment horizontal="right" vertical="center" wrapText="1"/>
    </xf>
    <xf numFmtId="0" fontId="43" fillId="7" borderId="11" xfId="0" applyFont="1" applyFill="1" applyBorder="1" applyAlignment="1">
      <alignment horizontal="center" vertical="center" wrapText="1"/>
    </xf>
    <xf numFmtId="0" fontId="37" fillId="29" borderId="0" xfId="0" applyFont="1" applyFill="1" applyAlignment="1">
      <alignment horizontal="center" vertical="center" wrapText="1"/>
    </xf>
    <xf numFmtId="0" fontId="15" fillId="7" borderId="29"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13" xfId="0" applyFont="1" applyFill="1" applyBorder="1" applyAlignment="1">
      <alignment horizontal="center" vertical="center" wrapText="1"/>
    </xf>
    <xf numFmtId="15" fontId="14" fillId="0" borderId="13" xfId="0" applyNumberFormat="1" applyFont="1" applyBorder="1" applyAlignment="1">
      <alignment horizontal="center" vertical="center" wrapText="1"/>
    </xf>
  </cellXfs>
  <cellStyles count="33">
    <cellStyle name="Hipervínculo 2" xfId="13" xr:uid="{0FDF3EE5-9184-49C6-8244-BE2B01C168E1}"/>
    <cellStyle name="Hipervínculo 3" xfId="29" xr:uid="{3D89FD49-F61E-43B6-8FC1-EBE84CD084DE}"/>
    <cellStyle name="Hyperlink" xfId="5" xr:uid="{B46DAAC6-2084-4DBE-B806-F51D48BB10D2}"/>
    <cellStyle name="Hyperlink 2" xfId="32" xr:uid="{1467C4F2-8612-4574-969D-A85C54C6DA2A}"/>
    <cellStyle name="Hyperlink 3" xfId="24" xr:uid="{BF019B10-A110-4819-9341-222A884AE02E}"/>
    <cellStyle name="Millares 2" xfId="2" xr:uid="{0E916B7F-5BA3-4927-B181-F211D938C994}"/>
    <cellStyle name="Millares 2 2" xfId="19" xr:uid="{A026A052-A339-425F-92BB-ED207E1B5585}"/>
    <cellStyle name="Millares 3" xfId="28" xr:uid="{7D2C526B-F28B-414D-B06B-2B780A7003E4}"/>
    <cellStyle name="Moneda 2" xfId="12" xr:uid="{707A6CDC-C7DE-4762-9550-DB6163E9B665}"/>
    <cellStyle name="Moneda 3" xfId="18" xr:uid="{A721AA28-50FC-4484-B649-C5712BD4058C}"/>
    <cellStyle name="Normal" xfId="0" builtinId="0"/>
    <cellStyle name="Normal 10" xfId="4" xr:uid="{C057A0CB-541E-465B-B81F-AC555C2DA1A9}"/>
    <cellStyle name="Normal 2" xfId="6" xr:uid="{E62AE3BB-DF66-437A-B725-DBB6943ACADB}"/>
    <cellStyle name="Normal 2 10" xfId="3" xr:uid="{25B4D0CE-E226-4AD1-80FC-8D37B24E40A6}"/>
    <cellStyle name="Normal 2 2" xfId="14" xr:uid="{D8FFA964-B68D-4BA4-922A-CD70FDAE81CC}"/>
    <cellStyle name="Normal 2 3" xfId="20" xr:uid="{2ED0B201-5291-418C-B2F7-E65CD05BC959}"/>
    <cellStyle name="Normal 3" xfId="7" xr:uid="{D6506578-9F51-48BC-B11B-D07D560EE400}"/>
    <cellStyle name="Normal 3 2" xfId="16" xr:uid="{D04F8A32-F26A-4E2A-AF88-416FA13CFCC2}"/>
    <cellStyle name="Normal 3 2 2" xfId="22" xr:uid="{3C869E79-8D00-4AB3-94E2-F6CF9B8292AD}"/>
    <cellStyle name="Normal 3 3 2" xfId="21" xr:uid="{9E6B6EC0-4057-4780-B815-9E109BA622A7}"/>
    <cellStyle name="Normal 4" xfId="9" xr:uid="{5EBF4EAC-3C6A-4B89-8D1D-2B6344057DD8}"/>
    <cellStyle name="Normal 4 2" xfId="10" xr:uid="{BAAE4FF9-D6C9-4943-BF8D-7760C8E2608E}"/>
    <cellStyle name="Normal 4 3" xfId="23" xr:uid="{A22E86E1-F0A9-47A1-823A-5BAC9296ED68}"/>
    <cellStyle name="Normal 5" xfId="11" xr:uid="{8375BE6C-EB7D-4641-9643-D915DB3B4F85}"/>
    <cellStyle name="Normal 6" xfId="25" xr:uid="{645A3C44-AEB2-4805-A5F0-92E040103BDB}"/>
    <cellStyle name="Normal 7" xfId="27" xr:uid="{8CC3CE0D-7B2C-451E-B7CB-3531AADAD9E8}"/>
    <cellStyle name="Normal 8" xfId="30" xr:uid="{E2A28FAE-4098-4F87-B19F-39CFAFBEBB58}"/>
    <cellStyle name="Porcentaje" xfId="1" builtinId="5"/>
    <cellStyle name="Porcentaje 2" xfId="15" xr:uid="{E9184157-A8A9-489D-95E5-84E46F9C280A}"/>
    <cellStyle name="Porcentaje 2 2" xfId="17" xr:uid="{3849C27E-5896-44CC-BFCE-4185AAB74251}"/>
    <cellStyle name="Porcentaje 3" xfId="26" xr:uid="{CD2C1CB5-79BE-4D33-80C6-FEC5927B253E}"/>
    <cellStyle name="Porcentaje 4" xfId="31" xr:uid="{7EB9538C-3327-432E-9773-C3A84B55D053}"/>
    <cellStyle name="Porcentaje 5" xfId="8" xr:uid="{95091FA9-B857-4272-A56A-D89006F41A04}"/>
  </cellStyles>
  <dxfs count="89">
    <dxf>
      <fill>
        <patternFill>
          <bgColor theme="8" tint="0.79998168889431442"/>
        </patternFill>
      </fill>
    </dxf>
    <dxf>
      <fill>
        <patternFill>
          <bgColor theme="8" tint="0.79998168889431442"/>
        </patternFill>
      </fill>
    </dxf>
    <dxf>
      <fill>
        <patternFill>
          <bgColor rgb="FFFFFFCC"/>
        </patternFill>
      </fill>
    </dxf>
    <dxf>
      <fill>
        <patternFill>
          <bgColor theme="5" tint="0.59996337778862885"/>
        </patternFill>
      </fill>
    </dxf>
    <dxf>
      <fill>
        <patternFill>
          <bgColor rgb="FFFFCCCC"/>
        </patternFill>
      </fill>
    </dxf>
    <dxf>
      <fill>
        <patternFill>
          <bgColor rgb="FFFFFFCC"/>
        </patternFill>
      </fill>
    </dxf>
    <dxf>
      <fill>
        <patternFill>
          <bgColor theme="5" tint="0.59996337778862885"/>
        </patternFill>
      </fill>
    </dxf>
    <dxf>
      <fill>
        <patternFill>
          <bgColor rgb="FFFFCC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5" tint="0.59996337778862885"/>
        </patternFill>
      </fill>
    </dxf>
    <dxf>
      <fill>
        <patternFill>
          <bgColor rgb="FFFFCCCC"/>
        </patternFill>
      </fill>
    </dxf>
    <dxf>
      <numFmt numFmtId="1" formatCode="0"/>
      <alignment vertical="center" textRotation="0" justifyLastLine="0" shrinkToFit="0"/>
    </dxf>
    <dxf>
      <numFmt numFmtId="1" formatCode="0"/>
      <alignment vertical="center" textRotation="0" justifyLastLine="0" shrinkToFit="0"/>
    </dxf>
    <dxf>
      <font>
        <b val="0"/>
        <i val="0"/>
        <strike val="0"/>
        <condense val="0"/>
        <extend val="0"/>
        <outline val="0"/>
        <shadow val="0"/>
        <u val="none"/>
        <vertAlign val="baseline"/>
        <sz val="11"/>
        <color theme="1"/>
        <name val="Aptos Narrow"/>
        <family val="2"/>
        <scheme val="minor"/>
      </font>
      <numFmt numFmtId="1" formatCode="0"/>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ptos Narrow"/>
        <family val="2"/>
        <scheme val="minor"/>
      </font>
      <numFmt numFmtId="1" formatCode="0"/>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alignment vertical="center" textRotation="0" justifyLastLine="0" shrinkToFit="0"/>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
      <alignment horizontal="center"/>
    </dxf>
    <dxf>
      <alignment vertical="center"/>
    </dxf>
    <dxf>
      <alignment vertical="center"/>
    </dxf>
    <dxf>
      <alignment vertical="center"/>
    </dxf>
    <dxf>
      <alignment vertical="center"/>
    </dxf>
    <dxf>
      <alignment horizontal="center"/>
    </dxf>
    <dxf>
      <alignment vertical="center"/>
    </dxf>
    <dxf>
      <alignment vertical="center"/>
    </dxf>
    <dxf>
      <alignment vertical="center"/>
    </dxf>
    <dxf>
      <alignment vertical="center"/>
    </dxf>
    <dxf>
      <font>
        <b val="0"/>
        <i val="0"/>
        <strike val="0"/>
        <condense val="0"/>
        <extend val="0"/>
        <outline val="0"/>
        <shadow val="0"/>
        <u val="none"/>
        <vertAlign val="baseline"/>
        <sz val="11"/>
        <color theme="1"/>
        <name val="Arial Narrow"/>
        <family val="2"/>
        <scheme val="none"/>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numFmt numFmtId="165" formatCode="0.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Narrow"/>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numFmt numFmtId="13"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numFmt numFmtId="22" formatCode="mmm\-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numFmt numFmtId="22" formatCode="mmm\-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Arial Narrow"/>
        <family val="2"/>
        <scheme val="none"/>
      </font>
      <fill>
        <patternFill patternType="none">
          <fgColor indexed="64"/>
          <bgColor auto="1"/>
        </patternFill>
      </fill>
    </dxf>
    <dxf>
      <font>
        <strike val="0"/>
        <outline val="0"/>
        <shadow val="0"/>
        <u val="none"/>
        <vertAlign val="baseline"/>
        <sz val="11"/>
        <name val="Arial Narrow"/>
        <family val="2"/>
        <scheme val="none"/>
      </font>
      <fill>
        <patternFill patternType="none">
          <fgColor indexed="64"/>
          <bgColor auto="1"/>
        </patternFill>
      </fill>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name val="Arial Narrow"/>
        <family val="2"/>
        <scheme val="none"/>
      </font>
      <fill>
        <patternFill patternType="none">
          <fgColor indexed="64"/>
          <bgColor auto="1"/>
        </patternFill>
      </fill>
    </dxf>
    <dxf>
      <font>
        <b/>
        <i val="0"/>
        <strike val="0"/>
        <condense val="0"/>
        <extend val="0"/>
        <outline val="0"/>
        <shadow val="0"/>
        <u val="none"/>
        <vertAlign val="baseline"/>
        <sz val="11"/>
        <color theme="0" tint="-4.9989318521683403E-2"/>
        <name val="Arial Narrow"/>
        <family val="2"/>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165" formatCode="0.0%"/>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165" formatCode="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13" formatCode="0%"/>
      <fill>
        <patternFill patternType="none">
          <fgColor indexed="64"/>
          <bgColor auto="1"/>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1"/>
        <name val="Arial Narrow"/>
        <family val="2"/>
        <scheme val="none"/>
      </font>
      <numFmt numFmtId="165" formatCode="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165" formatCode="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165" formatCode="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numFmt numFmtId="13" formatCode="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Narrow"/>
        <family val="2"/>
        <scheme val="none"/>
      </font>
      <numFmt numFmtId="13" formatCode="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numFmt numFmtId="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2"/>
        <color theme="0" tint="-4.9989318521683403E-2"/>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dashed">
          <color theme="9" tint="-0.24994659260841701"/>
        </left>
        <right style="dashed">
          <color theme="9" tint="-0.24994659260841701"/>
        </right>
        <top/>
        <bottom/>
      </border>
    </dxf>
  </dxfs>
  <tableStyles count="0" defaultTableStyle="TableStyleMedium2" defaultPivotStyle="PivotStyleLight16"/>
  <colors>
    <mruColors>
      <color rgb="FFFFCCCC"/>
      <color rgb="FFFFFFCC"/>
      <color rgb="FFFCC0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225233</xdr:colOff>
      <xdr:row>0</xdr:row>
      <xdr:rowOff>34637</xdr:rowOff>
    </xdr:from>
    <xdr:to>
      <xdr:col>2</xdr:col>
      <xdr:colOff>504806</xdr:colOff>
      <xdr:row>0</xdr:row>
      <xdr:rowOff>1045153</xdr:rowOff>
    </xdr:to>
    <xdr:pic>
      <xdr:nvPicPr>
        <xdr:cNvPr id="2" name="Imagen 1" descr="Logotipo&#10;&#10;Descripción generada automáticamente">
          <a:extLst>
            <a:ext uri="{FF2B5EF4-FFF2-40B4-BE49-F238E27FC236}">
              <a16:creationId xmlns:a16="http://schemas.microsoft.com/office/drawing/2014/main" id="{F06CF026-3935-40D5-B05D-5A90AF798187}"/>
            </a:ext>
            <a:ext uri="{147F2762-F138-4A5C-976F-8EAC2B608ADB}">
              <a16:predDERef xmlns:a16="http://schemas.microsoft.com/office/drawing/2014/main" pred="{F4441235-D5D0-8B57-E349-6BFAAF7187A3}"/>
            </a:ext>
          </a:extLst>
        </xdr:cNvPr>
        <xdr:cNvPicPr>
          <a:picLocks noChangeAspect="1"/>
        </xdr:cNvPicPr>
      </xdr:nvPicPr>
      <xdr:blipFill>
        <a:blip xmlns:r="http://schemas.openxmlformats.org/officeDocument/2006/relationships" r:embed="rId1"/>
        <a:stretch>
          <a:fillRect/>
        </a:stretch>
      </xdr:blipFill>
      <xdr:spPr>
        <a:xfrm>
          <a:off x="617778" y="34637"/>
          <a:ext cx="972302" cy="1010516"/>
        </a:xfrm>
        <a:prstGeom prst="rect">
          <a:avLst/>
        </a:prstGeom>
      </xdr:spPr>
    </xdr:pic>
    <xdr:clientData/>
  </xdr:twoCellAnchor>
  <xdr:oneCellAnchor>
    <xdr:from>
      <xdr:col>16</xdr:col>
      <xdr:colOff>341512</xdr:colOff>
      <xdr:row>0</xdr:row>
      <xdr:rowOff>72737</xdr:rowOff>
    </xdr:from>
    <xdr:ext cx="972302" cy="971550"/>
    <xdr:pic>
      <xdr:nvPicPr>
        <xdr:cNvPr id="3" name="Imagen 2" descr="Logotipo&#10;&#10;Descripción generada automáticamente">
          <a:extLst>
            <a:ext uri="{FF2B5EF4-FFF2-40B4-BE49-F238E27FC236}">
              <a16:creationId xmlns:a16="http://schemas.microsoft.com/office/drawing/2014/main" id="{8E8372DA-4811-41C3-BB4F-B6E10BBABB7C}"/>
            </a:ext>
            <a:ext uri="{147F2762-F138-4A5C-976F-8EAC2B608ADB}">
              <a16:predDERef xmlns:a16="http://schemas.microsoft.com/office/drawing/2014/main" pred="{F4441235-D5D0-8B57-E349-6BFAAF7187A3}"/>
            </a:ext>
          </a:extLst>
        </xdr:cNvPr>
        <xdr:cNvPicPr>
          <a:picLocks noChangeAspect="1"/>
        </xdr:cNvPicPr>
      </xdr:nvPicPr>
      <xdr:blipFill>
        <a:blip xmlns:r="http://schemas.openxmlformats.org/officeDocument/2006/relationships" r:embed="rId1"/>
        <a:stretch>
          <a:fillRect/>
        </a:stretch>
      </xdr:blipFill>
      <xdr:spPr>
        <a:xfrm>
          <a:off x="19541603" y="72737"/>
          <a:ext cx="972302" cy="9715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oycuervo-my.sharepoint.com/personal/estefania_benitez_caroycuervo_gov_co/Documents/PLANEACI&#211;N/CAMILO%20RODRIGUEZ/OTROS/MONITOREO%20RIESGOS/FRAUDE%20Y%20CORRUPCI&#211;N/Mapa%20de%20aseguramiento%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uctura"/>
      <sheetName val="Diagnóstico_RR"/>
      <sheetName val="Segunda línea"/>
      <sheetName val="Mapa de Aseguramiento"/>
      <sheetName val="Control de cambios"/>
      <sheetName val="Formulas"/>
      <sheetName val="Hoja2"/>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Diana Carolina Ramírez García" id="{76B01589-E476-4E44-BEA3-D1F8D0C8EEC2}" userId="S::diana.ramirez@CAROYCUERVO.GOV.CO::84f0df32-1e85-45f7-bbfd-393c363ba0e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57310" refreshedDate="45517.886661226854" createdVersion="8" refreshedVersion="8" minRefreshableVersion="3" recordCount="16" xr:uid="{3047F51C-A2D7-442F-ACA6-079416F3E170}">
  <cacheSource type="worksheet">
    <worksheetSource name="T_resumen"/>
  </cacheSource>
  <cacheFields count="4">
    <cacheField name="Proceso" numFmtId="0">
      <sharedItems count="9">
        <s v="Adquisiciones"/>
        <s v="Direccionamiento estratégico"/>
        <s v="Información y comunicación"/>
        <s v="Formación"/>
        <s v="Control Disciplinario"/>
        <s v="Alianzas"/>
        <s v="Contabilidad y presupuesto"/>
        <s v="Apropiación social del conocimiento y del patrimonio"/>
        <s v="Gestión de bienes y servicios"/>
      </sharedItems>
    </cacheField>
    <cacheField name="Código Riesgo" numFmtId="0">
      <sharedItems count="16">
        <s v="ADQ-C1"/>
        <s v="DIR-C1"/>
        <s v="DIR-C2"/>
        <s v="COM-C1"/>
        <s v="FOR-C1"/>
        <s v="DISC-C1"/>
        <s v="ALI-C1"/>
        <s v="PRE-C1"/>
        <s v="PRE-C2"/>
        <s v="PRE-C3"/>
        <s v="APR-C1"/>
        <s v="ADM-C1"/>
        <s v="FOR-C2"/>
        <s v="APR-C2"/>
        <s v="ADQ-C2"/>
        <s v="APR-C3"/>
      </sharedItems>
    </cacheField>
    <cacheField name="Severidad i" numFmtId="1">
      <sharedItems containsSemiMixedTypes="0" containsString="0" containsNumber="1" containsInteger="1" minValue="16" maxValue="24"/>
    </cacheField>
    <cacheField name="Severidad r" numFmtId="1">
      <sharedItems containsSemiMixedTypes="0" containsString="0" containsNumber="1" containsInteger="1" minValue="11" maxValue="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n v="24"/>
    <n v="17"/>
  </r>
  <r>
    <x v="1"/>
    <x v="1"/>
    <n v="22"/>
    <n v="14"/>
  </r>
  <r>
    <x v="1"/>
    <x v="2"/>
    <n v="22"/>
    <n v="14"/>
  </r>
  <r>
    <x v="2"/>
    <x v="3"/>
    <n v="16"/>
    <n v="14"/>
  </r>
  <r>
    <x v="3"/>
    <x v="4"/>
    <n v="17"/>
    <n v="11"/>
  </r>
  <r>
    <x v="4"/>
    <x v="5"/>
    <n v="23"/>
    <n v="14"/>
  </r>
  <r>
    <x v="5"/>
    <x v="6"/>
    <n v="22"/>
    <n v="14"/>
  </r>
  <r>
    <x v="6"/>
    <x v="7"/>
    <n v="19"/>
    <n v="16"/>
  </r>
  <r>
    <x v="6"/>
    <x v="8"/>
    <n v="19"/>
    <n v="16"/>
  </r>
  <r>
    <x v="6"/>
    <x v="9"/>
    <n v="17"/>
    <n v="14"/>
  </r>
  <r>
    <x v="7"/>
    <x v="10"/>
    <n v="22"/>
    <n v="14"/>
  </r>
  <r>
    <x v="8"/>
    <x v="11"/>
    <n v="17"/>
    <n v="16"/>
  </r>
  <r>
    <x v="3"/>
    <x v="12"/>
    <n v="17"/>
    <n v="16"/>
  </r>
  <r>
    <x v="7"/>
    <x v="13"/>
    <n v="23"/>
    <n v="14"/>
  </r>
  <r>
    <x v="8"/>
    <x v="14"/>
    <n v="23"/>
    <n v="16"/>
  </r>
  <r>
    <x v="7"/>
    <x v="15"/>
    <n v="22"/>
    <n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F7D050-BABA-4E17-8A4E-9FCE86F51A2F}" name="TablaDinámica18" cacheId="2"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rowHeaderCaption="Código Riesgo">
  <location ref="H5:J8" firstHeaderRow="0" firstDataRow="1" firstDataCol="1" rowPageCount="1" colPageCount="1"/>
  <pivotFields count="4">
    <pivotField axis="axisPage" multipleItemSelectionAllowed="1" showAll="0">
      <items count="10">
        <item h="1" x="0"/>
        <item h="1" x="5"/>
        <item h="1" x="7"/>
        <item h="1" x="6"/>
        <item h="1" x="4"/>
        <item h="1" x="1"/>
        <item h="1" x="3"/>
        <item x="8"/>
        <item x="2"/>
        <item t="default"/>
      </items>
    </pivotField>
    <pivotField axis="axisRow" showAll="0" sortType="ascending">
      <items count="17">
        <item x="11"/>
        <item x="0"/>
        <item x="14"/>
        <item x="6"/>
        <item x="10"/>
        <item x="13"/>
        <item x="15"/>
        <item x="3"/>
        <item x="1"/>
        <item x="2"/>
        <item x="5"/>
        <item x="4"/>
        <item x="12"/>
        <item x="7"/>
        <item x="8"/>
        <item x="9"/>
        <item t="default"/>
      </items>
    </pivotField>
    <pivotField dataField="1" numFmtId="1" showAll="0"/>
    <pivotField dataField="1" numFmtId="1" showAll="0"/>
  </pivotFields>
  <rowFields count="1">
    <field x="1"/>
  </rowFields>
  <rowItems count="3">
    <i>
      <x/>
    </i>
    <i>
      <x v="2"/>
    </i>
    <i>
      <x v="7"/>
    </i>
  </rowItems>
  <colFields count="1">
    <field x="-2"/>
  </colFields>
  <colItems count="2">
    <i>
      <x/>
    </i>
    <i i="1">
      <x v="1"/>
    </i>
  </colItems>
  <pageFields count="1">
    <pageField fld="0" hier="-1"/>
  </pageFields>
  <dataFields count="2">
    <dataField name="Suma de Posición i" fld="2" baseField="1" baseItem="0"/>
    <dataField name="Suma Posición r" fld="3" baseField="0" baseItem="0"/>
  </dataFields>
  <formats count="5">
    <format dxfId="26">
      <pivotArea type="all" dataOnly="0" outline="0" fieldPosition="0"/>
    </format>
    <format dxfId="25">
      <pivotArea outline="0" collapsedLevelsAreSubtotals="1" fieldPosition="0"/>
    </format>
    <format dxfId="24">
      <pivotArea field="1" type="button" dataOnly="0" labelOnly="1" outline="0" axis="axisRow" fieldPosition="0"/>
    </format>
    <format dxfId="23">
      <pivotArea dataOnly="0" labelOnly="1" outline="0" fieldPosition="0">
        <references count="1">
          <reference field="4294967294" count="2">
            <x v="0"/>
            <x v="1"/>
          </reference>
        </references>
      </pivotArea>
    </format>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E0D80A9-6569-42A4-BC80-DDBFF44FDF93}" name="TablaDinámica20" cacheId="2" applyNumberFormats="0" applyBorderFormats="0" applyFontFormats="0" applyPatternFormats="0" applyAlignmentFormats="0" applyWidthHeightFormats="1" dataCaption="Valores" updatedVersion="7" minRefreshableVersion="3" useAutoFormatting="1" rowGrandTotals="0" colGrandTotals="0" itemPrintTitles="1" createdVersion="8" indent="0" outline="1" outlineData="1" multipleFieldFilters="0">
  <location ref="R5:S6" firstHeaderRow="0" firstDataRow="1" firstDataCol="0" rowPageCount="1" colPageCount="1"/>
  <pivotFields count="4">
    <pivotField multipleItemSelectionAllowed="1" showAll="0"/>
    <pivotField axis="axisPage" multipleItemSelectionAllowed="1" showAll="0" sortType="ascending">
      <items count="17">
        <item x="11"/>
        <item h="1" x="0"/>
        <item h="1" x="14"/>
        <item h="1" x="6"/>
        <item h="1" x="10"/>
        <item h="1" x="13"/>
        <item h="1" x="15"/>
        <item h="1" x="3"/>
        <item h="1" x="1"/>
        <item h="1" x="2"/>
        <item h="1" x="5"/>
        <item h="1" x="4"/>
        <item h="1" x="12"/>
        <item h="1" x="7"/>
        <item h="1" x="8"/>
        <item h="1" x="9"/>
        <item t="default"/>
      </items>
    </pivotField>
    <pivotField dataField="1" numFmtId="1" showAll="0"/>
    <pivotField dataField="1" numFmtId="1" showAll="0"/>
  </pivotFields>
  <rowItems count="1">
    <i/>
  </rowItems>
  <colFields count="1">
    <field x="-2"/>
  </colFields>
  <colItems count="2">
    <i>
      <x/>
    </i>
    <i i="1">
      <x v="1"/>
    </i>
  </colItems>
  <pageFields count="1">
    <pageField fld="1" hier="-1"/>
  </pageFields>
  <dataFields count="2">
    <dataField name="Suma Posición i" fld="2" baseField="1" baseItem="0"/>
    <dataField name="Suma Posición r" fld="3" baseField="0" baseItem="0"/>
  </dataFields>
  <formats count="5">
    <format dxfId="31">
      <pivotArea type="all" dataOnly="0" outline="0" fieldPosition="0"/>
    </format>
    <format dxfId="30">
      <pivotArea outline="0" collapsedLevelsAreSubtotals="1" fieldPosition="0"/>
    </format>
    <format dxfId="29">
      <pivotArea field="1" type="button" dataOnly="0" labelOnly="1" outline="0" axis="axisPage" fieldPosition="0"/>
    </format>
    <format dxfId="28">
      <pivotArea dataOnly="0" labelOnly="1" outline="0" fieldPosition="0">
        <references count="1">
          <reference field="4294967294" count="2">
            <x v="0"/>
            <x v="1"/>
          </reference>
        </references>
      </pivotArea>
    </format>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3C5739-FF85-4AFA-8883-E5A816658626}" name="R_Corrupción" displayName="R_Corrupción" ref="A5:AA21" totalsRowShown="0" headerRowDxfId="88" dataDxfId="87">
  <autoFilter ref="A5:AA21" xr:uid="{7C3C5739-FF85-4AFA-8883-E5A816658626}"/>
  <tableColumns count="27">
    <tableColumn id="27" xr3:uid="{36B6FE6B-6CBA-45C7-8E3E-6764C9A51B64}" name="ID_R" dataDxfId="86">
      <calculatedColumnFormula>A5+6</calculatedColumnFormula>
    </tableColumn>
    <tableColumn id="1" xr3:uid="{560B6B6B-D56E-4F41-94E9-F2E1270C4523}" name="Proceso" dataDxfId="85"/>
    <tableColumn id="2" xr3:uid="{C529C4C7-D7EE-43B6-9A0E-860B28474FF6}" name="Código riesgo" dataDxfId="84"/>
    <tableColumn id="3" xr3:uid="{40BB89B7-305B-4B1F-AC25-FE5DEEC833F2}" name="Factor riesgo" dataDxfId="83"/>
    <tableColumn id="4" xr3:uid="{94AFF5CD-B755-4A85-8564-0833D7B440D9}" name="Descriptor factor" dataDxfId="82"/>
    <tableColumn id="5" xr3:uid="{AF097DC5-64E1-4686-8B7E-534227E15CA3}" name="Acción u omisión" dataDxfId="81"/>
    <tableColumn id="26" xr3:uid="{BED514F9-24E8-49A6-9431-AE68BEA96447}" name="Beneficio privado" dataDxfId="80"/>
    <tableColumn id="6" xr3:uid="{F80E0353-96C2-49BC-8091-1A4310E91EAB}" name="Uso del poder" dataDxfId="79"/>
    <tableColumn id="7" xr3:uid="{436F4649-35F4-42E0-A774-C5DD8398B3E0}" name="Desviar gestión pública" dataDxfId="78"/>
    <tableColumn id="8" xr3:uid="{B3FF7DAA-EC12-4B48-B4A8-107255F9867E}" name="Descripción del riesgo" dataDxfId="77">
      <calculatedColumnFormula>IF(I6&lt;&gt;"",CONCATENATE(R_Corrupción[[#This Row],[Acción u omisión]]," ",R_Corrupción[[#This Row],[Beneficio privado]]," ",R_Corrupción[[#This Row],[Uso del poder]]," ",R_Corrupción[[#This Row],[Desviar gestión pública]]),"")</calculatedColumnFormula>
    </tableColumn>
    <tableColumn id="9" xr3:uid="{8DC79DC2-02B5-41CF-A790-AA90269063C0}" name="Frecuencia" dataDxfId="76"/>
    <tableColumn id="10" xr3:uid="{7C2AB132-F5AB-461E-9139-55A01E523945}" name="Unidad de medida" dataDxfId="75"/>
    <tableColumn id="11" xr3:uid="{44AEC0C8-5CB5-42C9-85F6-AA323FA8E78C}" name="Impacto" dataDxfId="74">
      <calculatedColumnFormula>_xlfn.XLOOKUP(R_Corrupción[[#This Row],[ID_R]],C_Corrupción[ID_C],C_Corrupción[Reputación],"",0)</calculatedColumnFormula>
    </tableColumn>
    <tableColumn id="12" xr3:uid="{D423788C-8B71-48F3-9B22-B70D011D2FCC}" name="Probabilidad inherente" dataDxfId="73">
      <calculatedColumnFormula>_xlfn.XLOOKUP(R_Corrupción[[#This Row],[Pi %]],P_Cuantitativa,P_Cualitativa,"",0)</calculatedColumnFormula>
    </tableColumn>
    <tableColumn id="13" xr3:uid="{5A19DF45-BF4B-4764-89AE-60D4F515E82D}" name="Pi %" dataDxfId="72">
      <calculatedColumnFormula>IF(R_Corrupción[[#This Row],[Frecuencia]]&lt;&gt;"",_xlfn.XLOOKUP(R_Corrupción[[#This Row],[Frecuencia]],Frecuencia,P_Cuantitativa,,-1),"")</calculatedColumnFormula>
    </tableColumn>
    <tableColumn id="14" xr3:uid="{9FFA7CA4-E44F-4FCA-96FE-8DBFD1F5E07D}" name="Impacto inherente" dataDxfId="71" dataCellStyle="Porcentaje">
      <calculatedColumnFormula>_xlfn.XLOOKUP(R_Corrupción[[#This Row],[Ii %]],I_Cuantitativo,I_Cualitativo,"",0)</calculatedColumnFormula>
    </tableColumn>
    <tableColumn id="15" xr3:uid="{48D5A8C6-9095-41BC-8A08-780EC13DFFD0}" name="Ii %" dataDxfId="70">
      <calculatedColumnFormula>_xlfn.XLOOKUP(R_Corrupción[[#This Row],[Impacto]],Consecuencias,I_Cuantitativo,,-1)</calculatedColumnFormula>
    </tableColumn>
    <tableColumn id="28" xr3:uid="{E43FFE6B-F313-4698-9AF7-2F494AC97D88}" name="Severidad inherente" dataDxfId="69">
      <calculatedColumnFormula>_xlfn.XLOOKUP(CONCATENATE(R_Corrupción[[#This Row],[Probabilidad inherente]],R_Corrupción[[#This Row],[Impacto inherente]]),Severidad,S_Posición,"",0)</calculatedColumnFormula>
    </tableColumn>
    <tableColumn id="16" xr3:uid="{F7678867-771B-42BC-BCD3-1F7DA8774449}" name="Posición severidad i" dataDxfId="68">
      <calculatedColumnFormula>_xlfn.XLOOKUP(CONCATENATE(R_Corrupción[[#This Row],[Probabilidad inherente]],R_Corrupción[[#This Row],[Impacto inherente]]),Severidad,S_Nivel,"",0)</calculatedColumnFormula>
    </tableColumn>
    <tableColumn id="18" xr3:uid="{6A6E5AD5-E704-45F5-B7FB-B44DBA118EE0}" name="Eficiencia teórica probabilidad" dataDxfId="67">
      <calculatedColumnFormula>IFERROR(R_Corrupción[[#This Row],[Pi %]]-R_Corrupción[[#This Row],[Pr %]],"")</calculatedColumnFormula>
    </tableColumn>
    <tableColumn id="19" xr3:uid="{6B15D672-1FBD-4DC7-9466-D0E287F606B1}" name="Eficiencia teórica impacto" dataDxfId="66">
      <calculatedColumnFormula>IFERROR(R_Corrupción[[#This Row],[Ii %]]-R_Corrupción[[#This Row],[Ir %]],"")</calculatedColumnFormula>
    </tableColumn>
    <tableColumn id="20" xr3:uid="{BDFD97BE-CD67-4AF0-B81A-649330A8FF4B}" name="Probabilidad residual" dataDxfId="65">
      <calculatedColumnFormula>_xlfn.XLOOKUP(R_Corrupción[[#This Row],[Pr %]],P_Cuantitativa,P_Cualitativa,"",1)</calculatedColumnFormula>
    </tableColumn>
    <tableColumn id="21" xr3:uid="{FB0C481A-76B2-4BE0-847C-00030090E066}" name="Pr %" dataDxfId="64" dataCellStyle="Porcentaje">
      <calculatedColumnFormula>_xlfn.XLOOKUP(R_Corrupción[[#This Row],[ID_R]],C_Corrupción[ID_C],C_Corrupción[Cambio P %],,0)</calculatedColumnFormula>
    </tableColumn>
    <tableColumn id="22" xr3:uid="{3C6FF39C-E542-431F-B9EE-749FE10E469B}" name="Impacto residual" dataDxfId="63" dataCellStyle="Porcentaje">
      <calculatedColumnFormula>_xlfn.XLOOKUP(R_Corrupción[[#This Row],[Ir %]],I_Cuantitativo,I_Cualitativo,"",1)</calculatedColumnFormula>
    </tableColumn>
    <tableColumn id="23" xr3:uid="{6D1A1E94-1569-4828-B2D8-0B8BECAEB33F}" name="Ir %" dataDxfId="62" dataCellStyle="Porcentaje">
      <calculatedColumnFormula>_xlfn.XLOOKUP(R_Corrupción[[#This Row],[ID_R]],C_Corrupción[ID_C],C_Corrupción[Cambio I %],,0)</calculatedColumnFormula>
    </tableColumn>
    <tableColumn id="29" xr3:uid="{C11D86CF-8725-4A2E-A50C-F975BFA65B00}" name="Severidad residual" dataDxfId="61" dataCellStyle="Porcentaje">
      <calculatedColumnFormula>_xlfn.XLOOKUP(CONCATENATE(R_Corrupción[[#This Row],[Probabilidad residual]],R_Corrupción[[#This Row],[Impacto residual]]),Severidad,S_Posición,"",0)</calculatedColumnFormula>
    </tableColumn>
    <tableColumn id="24" xr3:uid="{3B955836-0E47-45C9-9193-D9E1739C40E4}" name="Posición severidad r" dataDxfId="60">
      <calculatedColumnFormula>_xlfn.XLOOKUP(CONCATENATE(R_Corrupción[[#This Row],[Probabilidad residual]],R_Corrupción[[#This Row],[Impacto residual]]),Severidad,S_Nivel,"",0)</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762279-C576-424E-97F9-0A937EA7D6B2}" name="C_Corrupción" displayName="C_Corrupción" ref="A5:Z101" totalsRowShown="0" headerRowDxfId="59" dataDxfId="58">
  <autoFilter ref="A5:Z101" xr:uid="{8F762279-C576-424E-97F9-0A937EA7D6B2}"/>
  <tableColumns count="26">
    <tableColumn id="26" xr3:uid="{18E3395E-679F-42CC-A7AF-2660CA08D6E5}" name="ID_C" dataDxfId="57"/>
    <tableColumn id="2" xr3:uid="{E838047F-46B1-42C9-8F7D-C33F47F82760}" name="Proceso" dataDxfId="56"/>
    <tableColumn id="3" xr3:uid="{ABA95658-FC55-40DC-A9DF-38A0BCAD550A}" name="Código riesgo" dataDxfId="55">
      <calculatedColumnFormula>Mapa_RC!#REF!</calculatedColumnFormula>
    </tableColumn>
    <tableColumn id="29" xr3:uid="{B7F73B25-7BBA-4590-B3A8-1B6B19647BE6}" name="Incumplimiento" dataDxfId="54"/>
    <tableColumn id="28" xr3:uid="{16D91C5B-92B0-424A-A7DF-5A5229D9E4C0}" name="Daños o pérdidas" dataDxfId="53"/>
    <tableColumn id="27" xr3:uid="{073B2BE2-7CC8-4FC6-BB96-ED01C820D8DA}" name="Intervenciones o sanciones" dataDxfId="52"/>
    <tableColumn id="1" xr3:uid="{4D5852BD-36D0-4916-806C-070BB169872F}" name="Reputación" dataDxfId="51"/>
    <tableColumn id="4" xr3:uid="{DD172380-2982-4F09-9C69-040D5B718C42}" name="Causas" dataDxfId="50"/>
    <tableColumn id="5" xr3:uid="{0C04CED7-0862-42A5-B3F1-FD2A8EDDDF52}" name="Código control" dataDxfId="49">
      <calculatedColumnFormula>IF(C_Corrupción[[#This Row],[Responsable de ejecutar]]&lt;&gt;"",CONCATENATE(C_Corrupción[[#This Row],[Código riesgo]],"-",IF(C_Corrupción[[#This Row],[Código riesgo]]&lt;&gt;C5,1,RIGHT(I5,1)+1)),"")</calculatedColumnFormula>
    </tableColumn>
    <tableColumn id="6" xr3:uid="{AE6B2C48-D088-4C55-B66D-F0A18E4B59AD}" name="Responsable de ejecutar" dataDxfId="48"/>
    <tableColumn id="7" xr3:uid="{D354AB13-AC37-4B36-9BFB-D4E1C64C7DC9}" name="Acción de control" dataDxfId="47"/>
    <tableColumn id="8" xr3:uid="{6E75BDB2-074C-4D93-8BA3-2AF984F3B4A1}" name="Complemento" dataDxfId="46"/>
    <tableColumn id="9" xr3:uid="{B905D025-0214-4C9C-B35D-E3434C8F9A38}" name="Momento de ejecución" dataDxfId="45"/>
    <tableColumn id="10" xr3:uid="{9C311E97-76A4-451E-9F90-8B662C6DAA13}" name="Forma de ejecución" dataDxfId="44"/>
    <tableColumn id="13" xr3:uid="{3E1F9A66-ACEC-4A19-A81E-A25B16F214EE}" name="Documentación" dataDxfId="43"/>
    <tableColumn id="14" xr3:uid="{29E0A3D8-9649-45A6-88C7-9D3DECFA9294}" name="Frecuencia" dataDxfId="42"/>
    <tableColumn id="15" xr3:uid="{675C7DAC-5298-40D8-9780-4B85B11A21C8}" name="Evidencia" dataDxfId="41"/>
    <tableColumn id="21" xr3:uid="{1496F84F-0013-4EA6-986C-B20EDC2C6324}" name="Tratamiento" dataDxfId="40"/>
    <tableColumn id="22" xr3:uid="{7570817E-A3F4-428E-A2A1-EA97ACED351F}" name="Actividad fortalecimiento" dataDxfId="39"/>
    <tableColumn id="23" xr3:uid="{6D4E3ADD-5661-4A6F-B4D5-7DA59BDB2681}" name="Responsable estrategia" dataDxfId="38"/>
    <tableColumn id="24" xr3:uid="{A9F1294A-35A6-4DA0-BA13-D99325FC06F2}" name="Fecha inicio" dataDxfId="37"/>
    <tableColumn id="25" xr3:uid="{99FEAB59-56F4-4353-9ABA-7D32F7FEA74C}" name="Fecha fin" dataDxfId="36"/>
    <tableColumn id="11" xr3:uid="{7C87A244-7B24-43B6-98CE-BA1CC1E40DCA}" name="Peso" dataDxfId="35">
      <calculatedColumnFormula>_xlfn.XLOOKUP(CONCATENATE(C_Corrupción[[#This Row],[Momento de ejecución]],C_Corrupción[[#This Row],[Forma de ejecución]]),C_Atributos,C_Peso,"",0)</calculatedColumnFormula>
    </tableColumn>
    <tableColumn id="12" xr3:uid="{774E22C9-5662-4EB4-9C53-DFF27CB45F52}" name="Efecto" dataDxfId="34">
      <calculatedColumnFormula>IFERROR(_xlfn.XLOOKUP(C_Corrupción[[#This Row],[Momento de ejecución]],C_Momento,C_Efecto,,0),"")</calculatedColumnFormula>
    </tableColumn>
    <tableColumn id="17" xr3:uid="{DFE7B7E9-2375-4E13-A08C-3B356C8D812F}" name="Cambio P %" dataDxfId="33" dataCellStyle="Porcentaje">
      <calculatedColumnFormula>IFERROR(IF(C_Corrupción[[#This Row],[Código riesgo]]&lt;&gt;C5,_xlfn.XLOOKUP(C_Corrupción[[#This Row],[Código riesgo]],R_Corrupción[Código riesgo],R_Corrupción[Pi %],,0)*IF(C_Corrupción[[#This Row],[Efecto]]="Probabilidad",1-C_Corrupción[[#This Row],[Peso]],1),IF(C_Corrupción[[#This Row],[Efecto]]="Probabilidad",Y5*(1-C_Corrupción[[#This Row],[Peso]]),Y5)),"")</calculatedColumnFormula>
    </tableColumn>
    <tableColumn id="19" xr3:uid="{995ED3AA-F146-482E-B0E2-80FCD4107653}" name="Cambio I %" dataDxfId="32">
      <calculatedColumnFormula>IFERROR(IF(C_Corrupción[[#This Row],[Código riesgo]]&lt;&gt;C5,_xlfn.XLOOKUP(C_Corrupción[[#This Row],[Código riesgo]],R_Corrupción[Código riesgo],R_Corrupción[Ii %],,0)*IF(C_Corrupción[[#This Row],[Efecto]]="Impacto",1-C_Corrupción[[#This Row],[Peso]],1),IF(C_Corrupción[[#This Row],[Efecto]]="Impacto",Z5*(1-C_Corrupción[[#This Row],[Peso]]),Z5)),"")</calculatedColumnFormula>
    </tableColumn>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6FA86E-DC46-467F-98D3-471F69BDD5B4}" name="T_resumen" displayName="T_resumen" ref="A5:F21" totalsRowShown="0" headerRowDxfId="21" dataDxfId="20" tableBorderDxfId="19">
  <autoFilter ref="A5:F21" xr:uid="{04438BEB-8F40-4E40-95C2-1DD5B7B37CDF}"/>
  <tableColumns count="6">
    <tableColumn id="1" xr3:uid="{B9311E68-6D72-4952-9B99-A4ED0F06E6D8}" name="Proceso" dataDxfId="18">
      <calculatedColumnFormula>R_Corrupción[[#This Row],[Proceso]]</calculatedColumnFormula>
    </tableColumn>
    <tableColumn id="2" xr3:uid="{1BF4EEE1-26D0-465F-84B8-8AC41E99CC05}" name="Código Riesgo" dataDxfId="17">
      <calculatedColumnFormula>R_Corrupción[[#This Row],[Código riesgo]]</calculatedColumnFormula>
    </tableColumn>
    <tableColumn id="3" xr3:uid="{A267CDF4-BCBB-44F2-BB44-3AD0CDDACB2C}" name="Posición Severidad i" dataDxfId="16">
      <calculatedColumnFormula>R_Corrupción[[#This Row],[Posición severidad i]]</calculatedColumnFormula>
    </tableColumn>
    <tableColumn id="4" xr3:uid="{500EAD64-9AAA-43E9-AB73-74A15803E39D}" name="Posición Severidad r" dataDxfId="15">
      <calculatedColumnFormula>R_Corrupción[[#This Row],[Posición severidad r]]</calculatedColumnFormula>
    </tableColumn>
    <tableColumn id="5" xr3:uid="{798BA2EF-3A0E-4922-ADD0-18EAB898C414}" name="Severidad inherente" dataDxfId="14">
      <calculatedColumnFormula>R_Corrupción[[#This Row],[Severidad inherente]]</calculatedColumnFormula>
    </tableColumn>
    <tableColumn id="6" xr3:uid="{134ACA09-D2ED-4FE0-85B0-C778BFAA3FAC}" name="Severidad residual" dataDxfId="13">
      <calculatedColumnFormula>R_Corrupción[[#This Row],[Severidad residual]]</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17" dT="2024-08-21T14:31:03.31" personId="{76B01589-E476-4E44-BEA3-D1F8D0C8EEC2}" id="{268FCA91-1068-43E2-9565-1A23076C7EC2}">
    <text>Pendiente número: Yanet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51A9-26C6-47DF-AF56-E90BC6C0F677}">
  <sheetPr>
    <tabColor theme="5" tint="-0.249977111117893"/>
  </sheetPr>
  <dimension ref="A1:AL109"/>
  <sheetViews>
    <sheetView showGridLines="0" zoomScale="85" zoomScaleNormal="85" workbookViewId="0">
      <selection activeCell="B2" sqref="B2:C2"/>
    </sheetView>
  </sheetViews>
  <sheetFormatPr baseColWidth="10" defaultColWidth="11.42578125" defaultRowHeight="20.25" x14ac:dyDescent="0.25"/>
  <cols>
    <col min="1" max="1" width="5.5703125" style="22" customWidth="1"/>
    <col min="2" max="2" width="21" style="22" customWidth="1"/>
    <col min="3" max="3" width="34.85546875" style="22" customWidth="1"/>
    <col min="4" max="6" width="18.140625" style="22" customWidth="1"/>
    <col min="7" max="7" width="5.7109375" style="22" customWidth="1"/>
    <col min="8" max="8" width="14.85546875" style="22" bestFit="1" customWidth="1"/>
    <col min="9" max="9" width="14.85546875" style="22" customWidth="1"/>
    <col min="10" max="10" width="57.42578125" style="22" customWidth="1"/>
    <col min="11" max="11" width="13.42578125" style="22" bestFit="1" customWidth="1"/>
    <col min="12" max="12" width="21.5703125" style="22" customWidth="1"/>
    <col min="13" max="13" width="21" style="22" customWidth="1"/>
    <col min="14" max="14" width="15.42578125" style="22" bestFit="1" customWidth="1"/>
    <col min="15" max="16384" width="11.42578125" style="22"/>
  </cols>
  <sheetData>
    <row r="1" spans="1:38" x14ac:dyDescent="0.25">
      <c r="A1" s="20"/>
      <c r="B1" s="21"/>
      <c r="C1" s="21"/>
      <c r="D1" s="21"/>
      <c r="E1" s="21"/>
      <c r="F1" s="21"/>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8" x14ac:dyDescent="0.25">
      <c r="A2" s="20"/>
      <c r="B2" s="174" t="s">
        <v>0</v>
      </c>
      <c r="C2" s="174"/>
      <c r="D2" s="175" t="s">
        <v>1</v>
      </c>
      <c r="E2" s="176"/>
      <c r="F2" s="177"/>
      <c r="G2" s="20"/>
      <c r="H2" s="178" t="s">
        <v>2</v>
      </c>
      <c r="I2" s="179"/>
      <c r="J2" s="179"/>
      <c r="K2" s="180"/>
      <c r="L2" s="20"/>
      <c r="M2" s="20"/>
      <c r="N2" s="20"/>
      <c r="O2" s="20"/>
      <c r="P2" s="20"/>
      <c r="Q2" s="20"/>
      <c r="R2" s="20"/>
      <c r="S2" s="20"/>
      <c r="T2" s="20"/>
      <c r="U2" s="20"/>
      <c r="V2" s="20"/>
      <c r="W2" s="20"/>
      <c r="X2" s="20"/>
      <c r="Y2" s="20"/>
      <c r="Z2" s="20"/>
      <c r="AA2" s="20"/>
      <c r="AB2" s="20"/>
      <c r="AC2" s="20"/>
      <c r="AD2" s="20"/>
      <c r="AE2" s="20"/>
      <c r="AF2" s="20"/>
    </row>
    <row r="3" spans="1:38" x14ac:dyDescent="0.25">
      <c r="A3" s="20"/>
      <c r="B3" s="181" t="s">
        <v>3</v>
      </c>
      <c r="C3" s="181"/>
      <c r="D3" s="182" t="s">
        <v>4</v>
      </c>
      <c r="E3" s="182"/>
      <c r="F3" s="183" t="s">
        <v>5</v>
      </c>
      <c r="G3" s="20"/>
      <c r="H3" s="23"/>
      <c r="I3" s="23"/>
      <c r="J3" s="23"/>
      <c r="K3" s="23"/>
      <c r="L3" s="20"/>
      <c r="M3" s="20"/>
      <c r="N3" s="20"/>
      <c r="O3" s="20"/>
      <c r="P3" s="20"/>
      <c r="Q3" s="20"/>
      <c r="R3" s="20"/>
      <c r="S3" s="20"/>
      <c r="T3" s="20"/>
      <c r="U3" s="20"/>
      <c r="V3" s="20"/>
      <c r="W3" s="20"/>
      <c r="X3" s="20"/>
      <c r="Y3" s="20"/>
      <c r="Z3" s="20"/>
      <c r="AA3" s="20"/>
      <c r="AB3" s="20"/>
      <c r="AC3" s="20"/>
      <c r="AD3" s="20"/>
      <c r="AE3" s="20"/>
      <c r="AF3" s="20"/>
    </row>
    <row r="4" spans="1:38" x14ac:dyDescent="0.25">
      <c r="A4" s="20"/>
      <c r="B4" s="1" t="s">
        <v>6</v>
      </c>
      <c r="C4" s="1" t="s">
        <v>7</v>
      </c>
      <c r="D4" s="1" t="s">
        <v>6</v>
      </c>
      <c r="E4" s="1" t="s">
        <v>7</v>
      </c>
      <c r="F4" s="184"/>
      <c r="G4" s="20"/>
      <c r="H4" s="178" t="s">
        <v>8</v>
      </c>
      <c r="I4" s="179"/>
      <c r="J4" s="179"/>
      <c r="K4" s="180"/>
      <c r="L4" s="20"/>
      <c r="M4" s="20"/>
      <c r="N4" s="20"/>
      <c r="O4" s="20"/>
      <c r="P4" s="20"/>
      <c r="Q4" s="20"/>
      <c r="R4" s="20"/>
      <c r="S4" s="20"/>
      <c r="T4" s="20"/>
      <c r="U4" s="20"/>
      <c r="V4" s="20"/>
      <c r="W4" s="20"/>
      <c r="X4" s="20"/>
      <c r="Y4" s="20"/>
      <c r="Z4" s="20"/>
      <c r="AA4" s="20"/>
      <c r="AB4" s="20"/>
      <c r="AC4" s="20"/>
      <c r="AD4" s="20"/>
      <c r="AE4" s="20"/>
      <c r="AF4" s="20"/>
    </row>
    <row r="5" spans="1:38" x14ac:dyDescent="0.25">
      <c r="A5" s="20"/>
      <c r="B5" s="2">
        <v>0</v>
      </c>
      <c r="C5" s="2">
        <v>2</v>
      </c>
      <c r="D5" s="133">
        <v>0</v>
      </c>
      <c r="E5" s="133">
        <v>0.2</v>
      </c>
      <c r="F5" s="134" t="s">
        <v>9</v>
      </c>
      <c r="G5" s="20"/>
      <c r="H5" s="3" t="s">
        <v>10</v>
      </c>
      <c r="I5" s="3" t="s">
        <v>11</v>
      </c>
      <c r="J5" s="4" t="s">
        <v>12</v>
      </c>
      <c r="K5" s="4" t="s">
        <v>13</v>
      </c>
      <c r="L5" s="38" t="s">
        <v>14</v>
      </c>
      <c r="M5" s="20"/>
      <c r="N5" s="20"/>
      <c r="O5" s="20"/>
      <c r="P5" s="20"/>
      <c r="Q5" s="20"/>
      <c r="R5" s="20"/>
      <c r="S5" s="20"/>
      <c r="T5" s="20"/>
      <c r="U5" s="20"/>
      <c r="V5" s="20"/>
      <c r="W5" s="20"/>
      <c r="X5" s="20"/>
      <c r="Y5" s="20"/>
      <c r="Z5" s="20"/>
      <c r="AA5" s="20"/>
      <c r="AB5" s="20"/>
      <c r="AC5" s="20"/>
      <c r="AD5" s="20"/>
      <c r="AE5" s="20"/>
      <c r="AF5" s="20"/>
    </row>
    <row r="6" spans="1:38" ht="31.5" x14ac:dyDescent="0.25">
      <c r="A6" s="20"/>
      <c r="B6" s="5">
        <v>3</v>
      </c>
      <c r="C6" s="5">
        <v>24</v>
      </c>
      <c r="D6" s="135">
        <v>0.2001</v>
      </c>
      <c r="E6" s="135">
        <v>0.4</v>
      </c>
      <c r="F6" s="136" t="s">
        <v>15</v>
      </c>
      <c r="G6" s="20"/>
      <c r="H6" s="192" t="s">
        <v>16</v>
      </c>
      <c r="I6" s="6" t="s">
        <v>17</v>
      </c>
      <c r="J6" s="7" t="s">
        <v>18</v>
      </c>
      <c r="K6" s="41">
        <v>0.25</v>
      </c>
      <c r="L6" s="55" t="s">
        <v>1</v>
      </c>
      <c r="M6" s="20"/>
      <c r="N6" s="20"/>
      <c r="O6" s="20"/>
      <c r="P6" s="20"/>
      <c r="Q6" s="20"/>
      <c r="R6" s="20"/>
      <c r="S6" s="20"/>
      <c r="T6" s="20"/>
      <c r="U6" s="20"/>
      <c r="V6" s="20"/>
      <c r="W6" s="20"/>
      <c r="X6" s="20"/>
      <c r="Y6" s="20"/>
      <c r="Z6" s="20"/>
      <c r="AA6" s="20"/>
      <c r="AB6" s="20"/>
      <c r="AC6" s="20"/>
      <c r="AD6" s="20"/>
      <c r="AE6" s="20"/>
      <c r="AF6" s="20"/>
    </row>
    <row r="7" spans="1:38" ht="31.5" x14ac:dyDescent="0.25">
      <c r="A7" s="20"/>
      <c r="B7" s="5">
        <v>25</v>
      </c>
      <c r="C7" s="5">
        <v>500</v>
      </c>
      <c r="D7" s="131">
        <v>0.40010000000000001</v>
      </c>
      <c r="E7" s="131">
        <v>0.6</v>
      </c>
      <c r="F7" s="132" t="s">
        <v>19</v>
      </c>
      <c r="G7" s="20"/>
      <c r="H7" s="192"/>
      <c r="I7" s="6" t="s">
        <v>20</v>
      </c>
      <c r="J7" s="7" t="s">
        <v>21</v>
      </c>
      <c r="K7" s="41">
        <v>0.15</v>
      </c>
      <c r="L7" s="55" t="s">
        <v>1</v>
      </c>
      <c r="M7" s="20"/>
      <c r="N7" s="20"/>
      <c r="O7" s="20"/>
      <c r="P7" s="20"/>
      <c r="Q7" s="20"/>
      <c r="R7" s="20"/>
      <c r="S7" s="20"/>
      <c r="T7" s="20"/>
      <c r="U7" s="20"/>
      <c r="V7" s="20"/>
      <c r="W7" s="20"/>
      <c r="X7" s="20"/>
      <c r="Y7" s="20"/>
      <c r="Z7" s="20"/>
      <c r="AA7" s="20"/>
      <c r="AB7" s="20"/>
      <c r="AC7" s="20"/>
      <c r="AD7" s="20"/>
      <c r="AE7" s="20"/>
      <c r="AF7" s="20"/>
    </row>
    <row r="8" spans="1:38" ht="31.5" x14ac:dyDescent="0.25">
      <c r="A8" s="20"/>
      <c r="B8" s="5">
        <v>501</v>
      </c>
      <c r="C8" s="5">
        <v>5000</v>
      </c>
      <c r="D8" s="48">
        <v>0.60009999999999997</v>
      </c>
      <c r="E8" s="48">
        <v>0.8</v>
      </c>
      <c r="F8" s="49" t="s">
        <v>22</v>
      </c>
      <c r="G8" s="20"/>
      <c r="H8" s="192"/>
      <c r="I8" s="6" t="s">
        <v>23</v>
      </c>
      <c r="J8" s="7" t="s">
        <v>24</v>
      </c>
      <c r="K8" s="41">
        <v>0.1</v>
      </c>
      <c r="L8" s="55" t="s">
        <v>25</v>
      </c>
      <c r="M8" s="20"/>
      <c r="N8" s="20"/>
      <c r="O8" s="20"/>
      <c r="P8" s="20"/>
      <c r="Q8" s="20"/>
      <c r="R8" s="20"/>
      <c r="S8" s="20"/>
      <c r="T8" s="20"/>
      <c r="U8" s="20"/>
      <c r="V8" s="20"/>
      <c r="W8" s="20"/>
      <c r="X8" s="20"/>
      <c r="Y8" s="20"/>
      <c r="Z8" s="20"/>
      <c r="AA8" s="20"/>
      <c r="AB8" s="20"/>
      <c r="AC8" s="20"/>
      <c r="AD8" s="20"/>
      <c r="AE8" s="20"/>
      <c r="AF8" s="20"/>
    </row>
    <row r="9" spans="1:38" ht="47.25" x14ac:dyDescent="0.25">
      <c r="A9" s="20"/>
      <c r="B9" s="5">
        <v>5001</v>
      </c>
      <c r="C9" s="5">
        <v>10000</v>
      </c>
      <c r="D9" s="50">
        <v>0.80010000000000003</v>
      </c>
      <c r="E9" s="50">
        <v>1</v>
      </c>
      <c r="F9" s="51" t="s">
        <v>26</v>
      </c>
      <c r="G9" s="20"/>
      <c r="H9" s="192" t="s">
        <v>27</v>
      </c>
      <c r="I9" s="6" t="s">
        <v>28</v>
      </c>
      <c r="J9" s="7" t="s">
        <v>29</v>
      </c>
      <c r="K9" s="8">
        <v>0.25</v>
      </c>
      <c r="L9" s="20"/>
      <c r="M9" s="20"/>
      <c r="N9" s="20"/>
      <c r="O9" s="20"/>
      <c r="P9" s="20"/>
      <c r="Q9" s="20"/>
      <c r="R9" s="20"/>
      <c r="S9" s="20"/>
      <c r="T9" s="20"/>
      <c r="U9" s="20"/>
      <c r="V9" s="20"/>
      <c r="W9" s="20"/>
      <c r="X9" s="20"/>
      <c r="Y9" s="20"/>
      <c r="Z9" s="20"/>
      <c r="AA9" s="20"/>
      <c r="AB9" s="20"/>
      <c r="AC9" s="20"/>
      <c r="AD9" s="20"/>
      <c r="AE9" s="20"/>
      <c r="AF9" s="20"/>
    </row>
    <row r="10" spans="1:38" ht="31.5" x14ac:dyDescent="0.25">
      <c r="A10" s="20"/>
      <c r="B10" s="24"/>
      <c r="C10" s="24"/>
      <c r="D10" s="24"/>
      <c r="E10" s="24"/>
      <c r="F10" s="24"/>
      <c r="G10" s="20"/>
      <c r="H10" s="192"/>
      <c r="I10" s="6" t="s">
        <v>30</v>
      </c>
      <c r="J10" s="7" t="s">
        <v>31</v>
      </c>
      <c r="K10" s="8">
        <v>0.15</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x14ac:dyDescent="0.25">
      <c r="A11" s="20"/>
      <c r="B11" s="174" t="s">
        <v>32</v>
      </c>
      <c r="C11" s="174"/>
      <c r="D11" s="175" t="s">
        <v>25</v>
      </c>
      <c r="E11" s="176"/>
      <c r="F11" s="177"/>
      <c r="G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row>
    <row r="12" spans="1:38" ht="30.6" customHeight="1" x14ac:dyDescent="0.25">
      <c r="A12" s="20"/>
      <c r="B12" s="181" t="s">
        <v>33</v>
      </c>
      <c r="C12" s="181"/>
      <c r="D12" s="182" t="s">
        <v>34</v>
      </c>
      <c r="E12" s="182"/>
      <c r="F12" s="183" t="s">
        <v>35</v>
      </c>
      <c r="G12" s="20"/>
      <c r="H12" s="3" t="s">
        <v>36</v>
      </c>
      <c r="I12" s="3" t="s">
        <v>37</v>
      </c>
      <c r="J12" s="3" t="s">
        <v>38</v>
      </c>
      <c r="K12" s="40" t="s">
        <v>39</v>
      </c>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row>
    <row r="13" spans="1:38" x14ac:dyDescent="0.25">
      <c r="A13" s="20"/>
      <c r="B13" s="1" t="s">
        <v>6</v>
      </c>
      <c r="C13" s="1" t="s">
        <v>7</v>
      </c>
      <c r="D13" s="1" t="s">
        <v>6</v>
      </c>
      <c r="E13" s="1" t="s">
        <v>7</v>
      </c>
      <c r="F13" s="184"/>
      <c r="G13" s="20"/>
      <c r="H13" s="39" t="s">
        <v>17</v>
      </c>
      <c r="I13" s="39" t="s">
        <v>28</v>
      </c>
      <c r="J13" s="42" t="str">
        <f>CONCATENATE(H13,I13)</f>
        <v>PreventivoAutomático</v>
      </c>
      <c r="K13" s="43">
        <v>0.5</v>
      </c>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row>
    <row r="14" spans="1:38" x14ac:dyDescent="0.25">
      <c r="A14" s="20"/>
      <c r="B14" s="56">
        <v>1</v>
      </c>
      <c r="C14" s="56">
        <v>5</v>
      </c>
      <c r="D14" s="9">
        <v>0.40010000000000001</v>
      </c>
      <c r="E14" s="9">
        <v>0.6</v>
      </c>
      <c r="F14" s="10" t="s">
        <v>40</v>
      </c>
      <c r="G14" s="20"/>
      <c r="H14" s="39" t="s">
        <v>17</v>
      </c>
      <c r="I14" s="39" t="s">
        <v>30</v>
      </c>
      <c r="J14" s="42" t="str">
        <f>CONCATENATE(H14,I14)</f>
        <v>PreventivoManual</v>
      </c>
      <c r="K14" s="43">
        <v>0.4</v>
      </c>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row>
    <row r="15" spans="1:38" x14ac:dyDescent="0.25">
      <c r="A15" s="20"/>
      <c r="B15" s="57">
        <v>6</v>
      </c>
      <c r="C15" s="57">
        <v>11</v>
      </c>
      <c r="D15" s="48">
        <v>0.60009999999999997</v>
      </c>
      <c r="E15" s="48">
        <v>0.8</v>
      </c>
      <c r="F15" s="49" t="s">
        <v>41</v>
      </c>
      <c r="G15" s="20"/>
      <c r="H15" s="39" t="s">
        <v>20</v>
      </c>
      <c r="I15" s="39" t="s">
        <v>28</v>
      </c>
      <c r="J15" s="42" t="str">
        <f>CONCATENATE(H15,I15)</f>
        <v>DetectivoAutomático</v>
      </c>
      <c r="K15" s="43">
        <v>0.4</v>
      </c>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row>
    <row r="16" spans="1:38" x14ac:dyDescent="0.25">
      <c r="A16" s="20"/>
      <c r="B16" s="57">
        <v>12</v>
      </c>
      <c r="C16" s="57">
        <v>20</v>
      </c>
      <c r="D16" s="50">
        <v>0.80010000000000003</v>
      </c>
      <c r="E16" s="50">
        <v>1</v>
      </c>
      <c r="F16" s="51" t="s">
        <v>42</v>
      </c>
      <c r="G16" s="20"/>
      <c r="H16" s="39" t="s">
        <v>20</v>
      </c>
      <c r="I16" s="39" t="s">
        <v>30</v>
      </c>
      <c r="J16" s="42" t="str">
        <f>CONCATENATE(H16,I16)</f>
        <v>DetectivoManual</v>
      </c>
      <c r="K16" s="43">
        <v>0.3</v>
      </c>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row>
    <row r="17" spans="1:38" x14ac:dyDescent="0.25">
      <c r="A17" s="20"/>
      <c r="G17" s="20"/>
      <c r="H17" s="39" t="s">
        <v>23</v>
      </c>
      <c r="I17" s="39" t="s">
        <v>28</v>
      </c>
      <c r="J17" s="42" t="str">
        <f t="shared" ref="J17" si="0">CONCATENATE(H17,I17)</f>
        <v>CorrectivoAutomático</v>
      </c>
      <c r="K17" s="43">
        <v>0.35</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38" x14ac:dyDescent="0.25">
      <c r="A18" s="20"/>
      <c r="G18" s="20"/>
      <c r="H18" s="39" t="s">
        <v>23</v>
      </c>
      <c r="I18" s="39" t="s">
        <v>30</v>
      </c>
      <c r="J18" s="42" t="str">
        <f>CONCATENATE(H18,I18)</f>
        <v>CorrectivoManual</v>
      </c>
      <c r="K18" s="43">
        <v>0.25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1:38" x14ac:dyDescent="0.25">
      <c r="A19" s="20"/>
      <c r="B19" s="189" t="s">
        <v>43</v>
      </c>
      <c r="C19" s="190"/>
      <c r="G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38" ht="33" x14ac:dyDescent="0.25">
      <c r="A20" s="20"/>
      <c r="B20" s="44" t="s">
        <v>44</v>
      </c>
      <c r="C20" s="47" t="s">
        <v>45</v>
      </c>
      <c r="D20" s="47" t="s">
        <v>46</v>
      </c>
      <c r="E20" s="47" t="s">
        <v>47</v>
      </c>
      <c r="F20" s="47" t="s">
        <v>48</v>
      </c>
      <c r="G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row>
    <row r="21" spans="1:38" ht="33" x14ac:dyDescent="0.25">
      <c r="A21" s="20"/>
      <c r="B21" s="185" t="s">
        <v>49</v>
      </c>
      <c r="C21" s="45" t="s">
        <v>50</v>
      </c>
      <c r="D21" s="46" t="s">
        <v>51</v>
      </c>
      <c r="E21" s="45" t="s">
        <v>52</v>
      </c>
      <c r="F21" s="46" t="s">
        <v>53</v>
      </c>
      <c r="G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row>
    <row r="22" spans="1:38" ht="33" x14ac:dyDescent="0.25">
      <c r="A22" s="20"/>
      <c r="B22" s="186"/>
      <c r="C22" s="45" t="s">
        <v>54</v>
      </c>
      <c r="D22" s="46" t="s">
        <v>55</v>
      </c>
      <c r="E22" s="45" t="s">
        <v>56</v>
      </c>
      <c r="F22" s="46" t="s">
        <v>57</v>
      </c>
      <c r="G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1:38" ht="33" x14ac:dyDescent="0.25">
      <c r="A23" s="20"/>
      <c r="B23" s="186"/>
      <c r="C23" s="45" t="s">
        <v>58</v>
      </c>
      <c r="D23" s="46" t="s">
        <v>59</v>
      </c>
      <c r="E23" s="45" t="s">
        <v>60</v>
      </c>
      <c r="F23" s="46" t="s">
        <v>61</v>
      </c>
      <c r="G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x14ac:dyDescent="0.25">
      <c r="A24" s="20"/>
      <c r="B24" s="186"/>
      <c r="C24" s="45" t="s">
        <v>62</v>
      </c>
      <c r="D24" s="46" t="s">
        <v>63</v>
      </c>
      <c r="E24" s="45" t="s">
        <v>64</v>
      </c>
      <c r="F24" s="46" t="s">
        <v>65</v>
      </c>
      <c r="G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1:38" x14ac:dyDescent="0.25">
      <c r="A25" s="20"/>
      <c r="B25" s="187"/>
      <c r="C25" s="45" t="s">
        <v>66</v>
      </c>
      <c r="D25" s="46" t="s">
        <v>67</v>
      </c>
      <c r="E25" s="45" t="s">
        <v>68</v>
      </c>
      <c r="F25" s="46" t="s">
        <v>69</v>
      </c>
      <c r="G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x14ac:dyDescent="0.25">
      <c r="A26" s="20"/>
      <c r="B26" s="26"/>
      <c r="C26" s="26"/>
      <c r="D26" s="26"/>
      <c r="E26" s="26"/>
      <c r="F26" s="26"/>
      <c r="G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x14ac:dyDescent="0.25">
      <c r="A27" s="27"/>
      <c r="B27" s="28" t="s">
        <v>70</v>
      </c>
      <c r="C27" s="28" t="s">
        <v>1</v>
      </c>
      <c r="D27" s="28" t="s">
        <v>25</v>
      </c>
      <c r="E27" s="28" t="s">
        <v>71</v>
      </c>
      <c r="F27" s="28" t="s">
        <v>72</v>
      </c>
      <c r="O27" s="27"/>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x14ac:dyDescent="0.25">
      <c r="A28" s="27"/>
      <c r="B28" s="29" t="s">
        <v>73</v>
      </c>
      <c r="C28" s="30" t="s">
        <v>26</v>
      </c>
      <c r="D28" s="30" t="s">
        <v>42</v>
      </c>
      <c r="E28" s="51" t="s">
        <v>74</v>
      </c>
      <c r="F28" s="51">
        <v>25</v>
      </c>
      <c r="O28" s="27"/>
      <c r="P28" s="20"/>
      <c r="Q28" s="20"/>
      <c r="R28" s="20"/>
      <c r="S28" s="20"/>
      <c r="T28" s="20"/>
      <c r="U28" s="20"/>
      <c r="V28" s="20"/>
      <c r="W28" s="20"/>
      <c r="X28" s="20"/>
      <c r="Y28" s="20"/>
      <c r="Z28" s="20"/>
      <c r="AA28" s="20"/>
      <c r="AB28" s="20"/>
      <c r="AC28" s="20"/>
      <c r="AD28" s="20"/>
      <c r="AE28" s="20"/>
      <c r="AF28" s="20"/>
      <c r="AG28" s="20"/>
      <c r="AH28" s="20"/>
      <c r="AI28" s="20"/>
      <c r="AJ28" s="20"/>
      <c r="AK28" s="20"/>
      <c r="AL28" s="20"/>
    </row>
    <row r="29" spans="1:38" x14ac:dyDescent="0.25">
      <c r="A29" s="27"/>
      <c r="B29" s="29" t="s">
        <v>75</v>
      </c>
      <c r="C29" s="30" t="s">
        <v>22</v>
      </c>
      <c r="D29" s="30" t="s">
        <v>42</v>
      </c>
      <c r="E29" s="51" t="s">
        <v>74</v>
      </c>
      <c r="F29" s="51">
        <v>24</v>
      </c>
      <c r="O29" s="27"/>
      <c r="P29" s="20"/>
      <c r="Q29" s="20"/>
      <c r="R29" s="20"/>
      <c r="S29" s="20"/>
      <c r="T29" s="20"/>
      <c r="U29" s="20"/>
      <c r="V29" s="20"/>
      <c r="W29" s="20"/>
      <c r="X29" s="20"/>
      <c r="Y29" s="20"/>
      <c r="Z29" s="20"/>
      <c r="AA29" s="20"/>
      <c r="AB29" s="20"/>
      <c r="AC29" s="20"/>
      <c r="AD29" s="20"/>
      <c r="AE29" s="20"/>
      <c r="AF29" s="20"/>
      <c r="AG29" s="20"/>
      <c r="AH29" s="20"/>
      <c r="AI29" s="20"/>
      <c r="AJ29" s="20"/>
      <c r="AK29" s="20"/>
      <c r="AL29" s="20"/>
    </row>
    <row r="30" spans="1:38" x14ac:dyDescent="0.25">
      <c r="A30" s="27"/>
      <c r="B30" s="29" t="s">
        <v>76</v>
      </c>
      <c r="C30" s="30" t="s">
        <v>19</v>
      </c>
      <c r="D30" s="30" t="s">
        <v>42</v>
      </c>
      <c r="E30" s="51" t="s">
        <v>74</v>
      </c>
      <c r="F30" s="51">
        <v>23</v>
      </c>
      <c r="O30" s="27"/>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38" x14ac:dyDescent="0.25">
      <c r="A31" s="27"/>
      <c r="B31" s="29" t="s">
        <v>77</v>
      </c>
      <c r="C31" s="30" t="s">
        <v>15</v>
      </c>
      <c r="D31" s="30" t="s">
        <v>42</v>
      </c>
      <c r="E31" s="51" t="s">
        <v>74</v>
      </c>
      <c r="F31" s="51">
        <v>22</v>
      </c>
      <c r="O31" s="27"/>
      <c r="P31" s="20"/>
      <c r="Q31" s="20"/>
      <c r="R31" s="20"/>
      <c r="S31" s="20"/>
      <c r="T31" s="20"/>
      <c r="U31" s="20"/>
      <c r="V31" s="20"/>
      <c r="W31" s="20"/>
      <c r="X31" s="20"/>
      <c r="Y31" s="20"/>
      <c r="Z31" s="20"/>
      <c r="AA31" s="20"/>
      <c r="AB31" s="20"/>
      <c r="AC31" s="20"/>
      <c r="AD31" s="20"/>
      <c r="AE31" s="20"/>
      <c r="AF31" s="20"/>
      <c r="AG31" s="20"/>
      <c r="AH31" s="20"/>
      <c r="AI31" s="20"/>
      <c r="AJ31" s="20"/>
      <c r="AK31" s="20"/>
      <c r="AL31" s="20"/>
    </row>
    <row r="32" spans="1:38" x14ac:dyDescent="0.25">
      <c r="A32" s="27"/>
      <c r="B32" s="29" t="s">
        <v>78</v>
      </c>
      <c r="C32" s="30" t="s">
        <v>9</v>
      </c>
      <c r="D32" s="30" t="s">
        <v>42</v>
      </c>
      <c r="E32" s="51" t="s">
        <v>74</v>
      </c>
      <c r="F32" s="51">
        <v>21</v>
      </c>
      <c r="O32" s="27"/>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38" x14ac:dyDescent="0.25">
      <c r="A33" s="27"/>
      <c r="B33" s="29" t="s">
        <v>79</v>
      </c>
      <c r="C33" s="30" t="s">
        <v>26</v>
      </c>
      <c r="D33" s="30" t="s">
        <v>41</v>
      </c>
      <c r="E33" s="49" t="s">
        <v>80</v>
      </c>
      <c r="F33" s="49">
        <v>20</v>
      </c>
      <c r="O33" s="27"/>
      <c r="P33" s="20"/>
      <c r="Q33" s="20"/>
      <c r="R33" s="20"/>
      <c r="S33" s="20"/>
      <c r="T33" s="20"/>
      <c r="U33" s="20"/>
      <c r="V33" s="20"/>
      <c r="W33" s="20"/>
      <c r="X33" s="20"/>
      <c r="Y33" s="20"/>
      <c r="Z33" s="20"/>
      <c r="AA33" s="20"/>
      <c r="AB33" s="20"/>
      <c r="AC33" s="20"/>
      <c r="AD33" s="20"/>
      <c r="AE33" s="20"/>
      <c r="AF33" s="20"/>
      <c r="AG33" s="20"/>
      <c r="AH33" s="20"/>
      <c r="AI33" s="20"/>
      <c r="AJ33" s="20"/>
      <c r="AK33" s="20"/>
      <c r="AL33" s="20"/>
    </row>
    <row r="34" spans="1:38" x14ac:dyDescent="0.25">
      <c r="A34" s="27"/>
      <c r="B34" s="29" t="s">
        <v>81</v>
      </c>
      <c r="C34" s="30" t="s">
        <v>22</v>
      </c>
      <c r="D34" s="30" t="s">
        <v>41</v>
      </c>
      <c r="E34" s="49" t="s">
        <v>80</v>
      </c>
      <c r="F34" s="49">
        <v>19</v>
      </c>
      <c r="O34" s="27"/>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x14ac:dyDescent="0.25">
      <c r="A35" s="27"/>
      <c r="B35" s="29" t="s">
        <v>82</v>
      </c>
      <c r="C35" s="30" t="s">
        <v>26</v>
      </c>
      <c r="D35" s="30" t="s">
        <v>40</v>
      </c>
      <c r="E35" s="49" t="s">
        <v>80</v>
      </c>
      <c r="F35" s="49">
        <v>18</v>
      </c>
      <c r="O35" s="27"/>
      <c r="P35" s="20"/>
      <c r="Q35" s="20"/>
      <c r="R35" s="20"/>
      <c r="S35" s="20"/>
      <c r="T35" s="20"/>
      <c r="U35" s="20"/>
      <c r="V35" s="20"/>
      <c r="W35" s="20"/>
      <c r="X35" s="20"/>
      <c r="Y35" s="20"/>
      <c r="Z35" s="20"/>
      <c r="AA35" s="20"/>
      <c r="AB35" s="20"/>
      <c r="AC35" s="20"/>
      <c r="AD35" s="20"/>
      <c r="AE35" s="20"/>
      <c r="AF35" s="20"/>
      <c r="AG35" s="20"/>
      <c r="AH35" s="20"/>
      <c r="AI35" s="20"/>
      <c r="AJ35" s="20"/>
      <c r="AK35" s="20"/>
      <c r="AL35" s="20"/>
    </row>
    <row r="36" spans="1:38" x14ac:dyDescent="0.25">
      <c r="A36" s="27"/>
      <c r="B36" s="29" t="s">
        <v>83</v>
      </c>
      <c r="C36" s="30" t="s">
        <v>19</v>
      </c>
      <c r="D36" s="30" t="s">
        <v>41</v>
      </c>
      <c r="E36" s="49" t="s">
        <v>80</v>
      </c>
      <c r="F36" s="49">
        <v>17</v>
      </c>
      <c r="O36" s="27"/>
      <c r="P36" s="20"/>
      <c r="Q36" s="20"/>
      <c r="R36" s="20"/>
      <c r="S36" s="20"/>
      <c r="T36" s="20"/>
      <c r="U36" s="20"/>
      <c r="V36" s="20"/>
      <c r="W36" s="20"/>
      <c r="X36" s="20"/>
      <c r="Y36" s="20"/>
      <c r="Z36" s="20"/>
      <c r="AA36" s="20"/>
      <c r="AB36" s="20"/>
      <c r="AC36" s="20"/>
      <c r="AD36" s="20"/>
      <c r="AE36" s="20"/>
      <c r="AF36" s="20"/>
      <c r="AG36" s="20"/>
      <c r="AH36" s="20"/>
      <c r="AI36" s="20"/>
      <c r="AJ36" s="20"/>
      <c r="AK36" s="20"/>
      <c r="AL36" s="20"/>
    </row>
    <row r="37" spans="1:38" x14ac:dyDescent="0.25">
      <c r="A37" s="27"/>
      <c r="B37" s="29" t="s">
        <v>84</v>
      </c>
      <c r="C37" s="30" t="s">
        <v>15</v>
      </c>
      <c r="D37" s="30" t="s">
        <v>41</v>
      </c>
      <c r="E37" s="49" t="s">
        <v>80</v>
      </c>
      <c r="F37" s="49">
        <v>16</v>
      </c>
      <c r="O37" s="27"/>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x14ac:dyDescent="0.25">
      <c r="A38" s="27"/>
      <c r="B38" s="29" t="s">
        <v>85</v>
      </c>
      <c r="C38" s="30" t="s">
        <v>22</v>
      </c>
      <c r="D38" s="30" t="s">
        <v>40</v>
      </c>
      <c r="E38" s="49" t="s">
        <v>80</v>
      </c>
      <c r="F38" s="49">
        <v>15</v>
      </c>
      <c r="O38" s="27"/>
      <c r="P38" s="20"/>
      <c r="Q38" s="20"/>
      <c r="R38" s="20"/>
      <c r="S38" s="20"/>
      <c r="T38" s="20"/>
      <c r="U38" s="20"/>
      <c r="V38" s="20"/>
      <c r="W38" s="20"/>
      <c r="X38" s="20"/>
      <c r="Y38" s="20"/>
      <c r="Z38" s="20"/>
      <c r="AA38" s="20"/>
      <c r="AB38" s="20"/>
      <c r="AC38" s="20"/>
      <c r="AD38" s="20"/>
      <c r="AE38" s="20"/>
      <c r="AF38" s="20"/>
      <c r="AG38" s="20"/>
      <c r="AH38" s="20"/>
      <c r="AI38" s="20"/>
      <c r="AJ38" s="20"/>
      <c r="AK38" s="20"/>
      <c r="AL38" s="20"/>
    </row>
    <row r="39" spans="1:38" x14ac:dyDescent="0.25">
      <c r="A39" s="27"/>
      <c r="B39" s="29" t="s">
        <v>86</v>
      </c>
      <c r="C39" s="30" t="s">
        <v>9</v>
      </c>
      <c r="D39" s="30" t="s">
        <v>41</v>
      </c>
      <c r="E39" s="49" t="s">
        <v>80</v>
      </c>
      <c r="F39" s="49">
        <v>14</v>
      </c>
      <c r="O39" s="27"/>
      <c r="P39" s="20"/>
      <c r="Q39" s="20"/>
      <c r="R39" s="20"/>
      <c r="S39" s="20"/>
      <c r="T39" s="20"/>
      <c r="U39" s="20"/>
      <c r="V39" s="20"/>
      <c r="W39" s="20"/>
      <c r="X39" s="20"/>
      <c r="Y39" s="20"/>
      <c r="Z39" s="20"/>
      <c r="AA39" s="20"/>
      <c r="AB39" s="20"/>
      <c r="AC39" s="20"/>
      <c r="AD39" s="20"/>
      <c r="AE39" s="20"/>
      <c r="AF39" s="20"/>
    </row>
    <row r="40" spans="1:38" x14ac:dyDescent="0.25">
      <c r="A40" s="27"/>
      <c r="B40" s="29" t="s">
        <v>87</v>
      </c>
      <c r="C40" s="30" t="s">
        <v>19</v>
      </c>
      <c r="D40" s="30" t="s">
        <v>40</v>
      </c>
      <c r="E40" s="11" t="s">
        <v>40</v>
      </c>
      <c r="F40" s="11">
        <v>13</v>
      </c>
      <c r="O40" s="27"/>
      <c r="P40" s="20"/>
      <c r="Q40" s="20"/>
      <c r="R40" s="20"/>
      <c r="S40" s="20"/>
      <c r="T40" s="20"/>
      <c r="U40" s="20"/>
      <c r="V40" s="20"/>
      <c r="W40" s="20"/>
      <c r="X40" s="20"/>
      <c r="Y40" s="20"/>
      <c r="Z40" s="20"/>
      <c r="AA40" s="20"/>
      <c r="AB40" s="20"/>
      <c r="AC40" s="20"/>
      <c r="AD40" s="20"/>
      <c r="AE40" s="20"/>
      <c r="AF40" s="20"/>
    </row>
    <row r="41" spans="1:38" x14ac:dyDescent="0.25">
      <c r="A41" s="27"/>
      <c r="B41" s="29" t="s">
        <v>88</v>
      </c>
      <c r="C41" s="30" t="s">
        <v>15</v>
      </c>
      <c r="D41" s="30" t="s">
        <v>40</v>
      </c>
      <c r="E41" s="11" t="s">
        <v>40</v>
      </c>
      <c r="F41" s="11">
        <v>12</v>
      </c>
      <c r="O41" s="27"/>
    </row>
    <row r="42" spans="1:38" x14ac:dyDescent="0.25">
      <c r="A42" s="27"/>
      <c r="B42" s="29" t="s">
        <v>89</v>
      </c>
      <c r="C42" s="30" t="s">
        <v>9</v>
      </c>
      <c r="D42" s="30" t="s">
        <v>40</v>
      </c>
      <c r="E42" s="11" t="s">
        <v>40</v>
      </c>
      <c r="F42" s="11">
        <v>11</v>
      </c>
      <c r="O42" s="27"/>
    </row>
    <row r="43" spans="1:38" x14ac:dyDescent="0.25">
      <c r="A43" s="27"/>
      <c r="B43" s="27"/>
      <c r="C43" s="27"/>
      <c r="D43" s="27"/>
      <c r="E43" s="27"/>
      <c r="F43" s="27"/>
      <c r="O43" s="27"/>
    </row>
    <row r="44" spans="1:38" x14ac:dyDescent="0.25">
      <c r="A44" s="20"/>
      <c r="C44" s="188" t="s">
        <v>90</v>
      </c>
      <c r="D44" s="188"/>
      <c r="E44" s="188"/>
      <c r="F44" s="188"/>
    </row>
    <row r="45" spans="1:38" x14ac:dyDescent="0.25">
      <c r="A45" s="27"/>
      <c r="C45" s="51" t="s">
        <v>91</v>
      </c>
      <c r="D45" s="49">
        <v>18</v>
      </c>
      <c r="E45" s="49">
        <v>20</v>
      </c>
      <c r="F45" s="51">
        <v>25</v>
      </c>
    </row>
    <row r="46" spans="1:38" x14ac:dyDescent="0.25">
      <c r="A46" s="27"/>
      <c r="C46" s="49" t="s">
        <v>92</v>
      </c>
      <c r="D46" s="49">
        <v>15</v>
      </c>
      <c r="E46" s="49">
        <v>19</v>
      </c>
      <c r="F46" s="51">
        <v>24</v>
      </c>
    </row>
    <row r="47" spans="1:38" x14ac:dyDescent="0.25">
      <c r="A47" s="27"/>
      <c r="C47" s="58" t="s">
        <v>93</v>
      </c>
      <c r="D47" s="59">
        <v>13</v>
      </c>
      <c r="E47" s="49">
        <v>17</v>
      </c>
      <c r="F47" s="51">
        <v>23</v>
      </c>
    </row>
    <row r="48" spans="1:38" x14ac:dyDescent="0.25">
      <c r="A48" s="27"/>
      <c r="C48" s="60" t="s">
        <v>94</v>
      </c>
      <c r="D48" s="59">
        <v>12</v>
      </c>
      <c r="E48" s="49">
        <v>16</v>
      </c>
      <c r="F48" s="51">
        <v>22</v>
      </c>
    </row>
    <row r="49" spans="1:15" x14ac:dyDescent="0.25">
      <c r="A49" s="27"/>
      <c r="C49" s="137" t="s">
        <v>95</v>
      </c>
      <c r="D49" s="59">
        <v>11</v>
      </c>
      <c r="E49" s="49">
        <v>14</v>
      </c>
      <c r="F49" s="51">
        <v>21</v>
      </c>
    </row>
    <row r="50" spans="1:15" x14ac:dyDescent="0.25">
      <c r="A50" s="27"/>
      <c r="C50" s="61"/>
      <c r="D50" s="58" t="s">
        <v>96</v>
      </c>
      <c r="E50" s="49" t="s">
        <v>97</v>
      </c>
      <c r="F50" s="51" t="s">
        <v>98</v>
      </c>
    </row>
    <row r="51" spans="1:15" x14ac:dyDescent="0.25">
      <c r="A51" s="27"/>
      <c r="B51" s="27"/>
      <c r="C51" s="27"/>
      <c r="D51" s="27"/>
      <c r="E51" s="27"/>
      <c r="F51" s="27"/>
      <c r="G51" s="27"/>
    </row>
    <row r="52" spans="1:15" x14ac:dyDescent="0.25">
      <c r="B52" s="61"/>
      <c r="C52" s="188" t="s">
        <v>99</v>
      </c>
      <c r="D52" s="188"/>
      <c r="E52" s="188"/>
      <c r="F52" s="188"/>
      <c r="G52" s="27"/>
      <c r="I52" s="178" t="s">
        <v>100</v>
      </c>
      <c r="J52" s="179"/>
      <c r="K52" s="179"/>
      <c r="L52" s="25"/>
      <c r="M52" s="20"/>
      <c r="N52" s="20"/>
    </row>
    <row r="53" spans="1:15" x14ac:dyDescent="0.25">
      <c r="B53" s="51" t="s">
        <v>91</v>
      </c>
      <c r="C53" s="62">
        <v>30</v>
      </c>
      <c r="D53" s="49">
        <f t="shared" ref="D53:F57" si="1">$C53*D$58</f>
        <v>240</v>
      </c>
      <c r="E53" s="49">
        <f t="shared" si="1"/>
        <v>480</v>
      </c>
      <c r="F53" s="51">
        <f t="shared" si="1"/>
        <v>2100</v>
      </c>
      <c r="G53" s="27"/>
      <c r="I53" s="96" t="s">
        <v>101</v>
      </c>
      <c r="J53" s="4" t="s">
        <v>12</v>
      </c>
      <c r="K53" s="65" t="s">
        <v>102</v>
      </c>
      <c r="L53" s="38" t="s">
        <v>103</v>
      </c>
      <c r="M53" s="20"/>
      <c r="N53" s="20"/>
    </row>
    <row r="54" spans="1:15" ht="47.25" x14ac:dyDescent="0.25">
      <c r="B54" s="49" t="s">
        <v>92</v>
      </c>
      <c r="C54" s="62">
        <v>17</v>
      </c>
      <c r="D54" s="49">
        <f t="shared" si="1"/>
        <v>136</v>
      </c>
      <c r="E54" s="49">
        <f t="shared" si="1"/>
        <v>272</v>
      </c>
      <c r="F54" s="51">
        <f t="shared" si="1"/>
        <v>1190</v>
      </c>
      <c r="G54" s="27"/>
      <c r="I54" s="192" t="s">
        <v>104</v>
      </c>
      <c r="J54" s="37" t="s">
        <v>105</v>
      </c>
      <c r="K54" s="6" t="s">
        <v>106</v>
      </c>
      <c r="L54" s="191" t="s">
        <v>107</v>
      </c>
      <c r="M54" s="20"/>
      <c r="N54" s="20"/>
    </row>
    <row r="55" spans="1:15" ht="47.25" x14ac:dyDescent="0.25">
      <c r="B55" s="58" t="s">
        <v>93</v>
      </c>
      <c r="C55" s="62">
        <v>11</v>
      </c>
      <c r="D55" s="59">
        <f t="shared" si="1"/>
        <v>88</v>
      </c>
      <c r="E55" s="49">
        <f t="shared" si="1"/>
        <v>176</v>
      </c>
      <c r="F55" s="51">
        <f t="shared" si="1"/>
        <v>770</v>
      </c>
      <c r="G55" s="27"/>
      <c r="I55" s="192"/>
      <c r="J55" s="37" t="s">
        <v>108</v>
      </c>
      <c r="K55" s="6" t="s">
        <v>109</v>
      </c>
      <c r="L55" s="191"/>
      <c r="M55" s="20"/>
      <c r="N55" s="20"/>
    </row>
    <row r="56" spans="1:15" ht="31.5" x14ac:dyDescent="0.25">
      <c r="B56" s="60" t="s">
        <v>94</v>
      </c>
      <c r="C56" s="62">
        <v>9</v>
      </c>
      <c r="D56" s="59">
        <f t="shared" si="1"/>
        <v>72</v>
      </c>
      <c r="E56" s="49">
        <f t="shared" si="1"/>
        <v>144</v>
      </c>
      <c r="F56" s="51">
        <f t="shared" si="1"/>
        <v>630</v>
      </c>
      <c r="G56" s="27"/>
      <c r="I56" s="192" t="s">
        <v>110</v>
      </c>
      <c r="J56" s="37" t="s">
        <v>111</v>
      </c>
      <c r="K56" s="6" t="s">
        <v>112</v>
      </c>
      <c r="L56" s="191" t="s">
        <v>113</v>
      </c>
      <c r="M56" s="20"/>
    </row>
    <row r="57" spans="1:15" ht="31.5" x14ac:dyDescent="0.25">
      <c r="B57" s="137" t="s">
        <v>95</v>
      </c>
      <c r="C57" s="12">
        <v>7</v>
      </c>
      <c r="D57" s="59">
        <f t="shared" si="1"/>
        <v>56</v>
      </c>
      <c r="E57" s="49">
        <f t="shared" si="1"/>
        <v>112</v>
      </c>
      <c r="F57" s="51">
        <f t="shared" si="1"/>
        <v>490</v>
      </c>
      <c r="G57" s="27"/>
      <c r="I57" s="192"/>
      <c r="J57" s="37" t="s">
        <v>114</v>
      </c>
      <c r="K57" s="6" t="s">
        <v>115</v>
      </c>
      <c r="L57" s="191"/>
      <c r="M57" s="20"/>
    </row>
    <row r="58" spans="1:15" ht="31.5" x14ac:dyDescent="0.25">
      <c r="B58" s="63" t="s">
        <v>1</v>
      </c>
      <c r="C58" s="64"/>
      <c r="D58" s="62">
        <v>8</v>
      </c>
      <c r="E58" s="62">
        <v>16</v>
      </c>
      <c r="F58" s="62">
        <v>70</v>
      </c>
      <c r="G58" s="27"/>
      <c r="I58" s="192" t="s">
        <v>116</v>
      </c>
      <c r="J58" s="37" t="s">
        <v>117</v>
      </c>
      <c r="K58" s="6" t="s">
        <v>118</v>
      </c>
      <c r="L58" s="191" t="s">
        <v>119</v>
      </c>
      <c r="M58" s="20"/>
    </row>
    <row r="59" spans="1:15" x14ac:dyDescent="0.25">
      <c r="B59" s="61"/>
      <c r="C59" s="63" t="s">
        <v>25</v>
      </c>
      <c r="D59" s="58" t="s">
        <v>96</v>
      </c>
      <c r="E59" s="49" t="s">
        <v>97</v>
      </c>
      <c r="F59" s="51" t="s">
        <v>98</v>
      </c>
      <c r="G59" s="27"/>
      <c r="I59" s="192"/>
      <c r="J59" s="37" t="s">
        <v>120</v>
      </c>
      <c r="K59" s="6" t="s">
        <v>121</v>
      </c>
      <c r="L59" s="191"/>
      <c r="M59" s="20"/>
    </row>
    <row r="61" spans="1:15" x14ac:dyDescent="0.25">
      <c r="B61" s="31" t="s">
        <v>122</v>
      </c>
      <c r="C61" s="31" t="s">
        <v>123</v>
      </c>
      <c r="D61" s="31" t="s">
        <v>124</v>
      </c>
      <c r="O61" s="27"/>
    </row>
    <row r="62" spans="1:15" x14ac:dyDescent="0.25">
      <c r="B62" s="32">
        <v>56</v>
      </c>
      <c r="C62" s="33">
        <v>88</v>
      </c>
      <c r="D62" s="52" t="s">
        <v>96</v>
      </c>
    </row>
    <row r="63" spans="1:15" x14ac:dyDescent="0.25">
      <c r="B63" s="32">
        <v>112</v>
      </c>
      <c r="C63" s="33">
        <v>480</v>
      </c>
      <c r="D63" s="53" t="s">
        <v>125</v>
      </c>
    </row>
    <row r="64" spans="1:15" x14ac:dyDescent="0.25">
      <c r="B64" s="33">
        <v>490</v>
      </c>
      <c r="C64" s="33">
        <v>2100</v>
      </c>
      <c r="D64" s="54" t="s">
        <v>126</v>
      </c>
    </row>
    <row r="66" spans="1:15" x14ac:dyDescent="0.25">
      <c r="A66" s="27"/>
      <c r="B66" s="28" t="s">
        <v>127</v>
      </c>
      <c r="D66" s="13" t="s">
        <v>110</v>
      </c>
      <c r="M66" s="27"/>
      <c r="N66" s="27"/>
      <c r="O66" s="27"/>
    </row>
    <row r="67" spans="1:15" x14ac:dyDescent="0.25">
      <c r="A67" s="18">
        <v>1</v>
      </c>
      <c r="B67" s="19" t="s">
        <v>128</v>
      </c>
      <c r="D67" s="35" t="s">
        <v>129</v>
      </c>
    </row>
    <row r="68" spans="1:15" x14ac:dyDescent="0.25">
      <c r="A68" s="18">
        <v>2</v>
      </c>
      <c r="B68" s="19" t="s">
        <v>130</v>
      </c>
      <c r="D68" s="35" t="s">
        <v>131</v>
      </c>
    </row>
    <row r="69" spans="1:15" x14ac:dyDescent="0.25">
      <c r="A69" s="18">
        <v>3</v>
      </c>
      <c r="B69" s="19" t="s">
        <v>132</v>
      </c>
      <c r="D69" s="35" t="s">
        <v>133</v>
      </c>
    </row>
    <row r="70" spans="1:15" x14ac:dyDescent="0.25">
      <c r="A70" s="18">
        <v>4</v>
      </c>
      <c r="B70" s="19" t="s">
        <v>134</v>
      </c>
      <c r="D70" s="35" t="s">
        <v>135</v>
      </c>
    </row>
    <row r="71" spans="1:15" x14ac:dyDescent="0.25">
      <c r="A71" s="18">
        <v>5</v>
      </c>
      <c r="B71" s="19" t="s">
        <v>136</v>
      </c>
      <c r="D71" s="35" t="s">
        <v>137</v>
      </c>
    </row>
    <row r="72" spans="1:15" ht="25.5" x14ac:dyDescent="0.25">
      <c r="A72" s="18">
        <v>6</v>
      </c>
      <c r="B72" s="19" t="s">
        <v>138</v>
      </c>
      <c r="D72" s="35" t="s">
        <v>115</v>
      </c>
    </row>
    <row r="73" spans="1:15" x14ac:dyDescent="0.25">
      <c r="A73" s="18">
        <v>7</v>
      </c>
      <c r="B73" s="19" t="s">
        <v>139</v>
      </c>
    </row>
    <row r="74" spans="1:15" x14ac:dyDescent="0.25">
      <c r="A74" s="18">
        <v>8</v>
      </c>
      <c r="B74" s="19" t="s">
        <v>140</v>
      </c>
    </row>
    <row r="75" spans="1:15" x14ac:dyDescent="0.25">
      <c r="A75" s="18">
        <v>9</v>
      </c>
      <c r="B75" s="19" t="s">
        <v>141</v>
      </c>
    </row>
    <row r="76" spans="1:15" x14ac:dyDescent="0.25">
      <c r="A76" s="18">
        <v>10</v>
      </c>
      <c r="B76" s="19" t="s">
        <v>142</v>
      </c>
    </row>
    <row r="77" spans="1:15" x14ac:dyDescent="0.25">
      <c r="A77" s="18">
        <v>11</v>
      </c>
      <c r="B77" s="19" t="s">
        <v>143</v>
      </c>
    </row>
    <row r="78" spans="1:15" x14ac:dyDescent="0.25">
      <c r="A78" s="18">
        <v>12</v>
      </c>
      <c r="B78" s="19" t="s">
        <v>144</v>
      </c>
    </row>
    <row r="79" spans="1:15" x14ac:dyDescent="0.25">
      <c r="A79" s="18">
        <v>13</v>
      </c>
      <c r="B79" s="19" t="s">
        <v>145</v>
      </c>
    </row>
    <row r="81" spans="1:6" x14ac:dyDescent="0.25">
      <c r="B81" s="28" t="s">
        <v>146</v>
      </c>
      <c r="C81" s="28" t="s">
        <v>147</v>
      </c>
      <c r="D81" s="28" t="s">
        <v>148</v>
      </c>
      <c r="F81" s="28" t="s">
        <v>146</v>
      </c>
    </row>
    <row r="82" spans="1:6" ht="38.25" x14ac:dyDescent="0.25">
      <c r="A82" s="18" t="s">
        <v>149</v>
      </c>
      <c r="B82" s="19" t="s">
        <v>127</v>
      </c>
      <c r="C82" s="19" t="s">
        <v>150</v>
      </c>
      <c r="D82" s="19" t="s">
        <v>151</v>
      </c>
      <c r="E82" s="36">
        <v>1</v>
      </c>
      <c r="F82" s="19" t="s">
        <v>152</v>
      </c>
    </row>
    <row r="83" spans="1:6" ht="38.25" x14ac:dyDescent="0.25">
      <c r="A83" s="18" t="s">
        <v>153</v>
      </c>
      <c r="B83" s="19" t="s">
        <v>127</v>
      </c>
      <c r="C83" s="19" t="s">
        <v>150</v>
      </c>
      <c r="D83" s="19" t="s">
        <v>154</v>
      </c>
      <c r="E83" s="36">
        <v>2</v>
      </c>
      <c r="F83" s="19" t="s">
        <v>155</v>
      </c>
    </row>
    <row r="84" spans="1:6" ht="38.25" x14ac:dyDescent="0.25">
      <c r="A84" s="18" t="s">
        <v>156</v>
      </c>
      <c r="B84" s="19" t="s">
        <v>127</v>
      </c>
      <c r="C84" s="19" t="s">
        <v>150</v>
      </c>
      <c r="D84" s="19" t="s">
        <v>157</v>
      </c>
      <c r="E84" s="36">
        <v>3</v>
      </c>
      <c r="F84" s="19" t="s">
        <v>158</v>
      </c>
    </row>
    <row r="85" spans="1:6" ht="38.25" x14ac:dyDescent="0.25">
      <c r="A85" s="18" t="s">
        <v>159</v>
      </c>
      <c r="B85" s="19" t="s">
        <v>127</v>
      </c>
      <c r="C85" s="19" t="s">
        <v>150</v>
      </c>
      <c r="D85" s="19" t="s">
        <v>160</v>
      </c>
      <c r="E85" s="36">
        <v>4</v>
      </c>
      <c r="F85" s="19" t="s">
        <v>161</v>
      </c>
    </row>
    <row r="86" spans="1:6" ht="38.25" x14ac:dyDescent="0.25">
      <c r="A86" s="18" t="s">
        <v>162</v>
      </c>
      <c r="B86" s="19" t="s">
        <v>163</v>
      </c>
      <c r="C86" s="19" t="s">
        <v>164</v>
      </c>
      <c r="D86" s="19" t="s">
        <v>165</v>
      </c>
      <c r="E86" s="36">
        <v>5</v>
      </c>
      <c r="F86" s="19" t="s">
        <v>166</v>
      </c>
    </row>
    <row r="87" spans="1:6" ht="38.25" x14ac:dyDescent="0.25">
      <c r="A87" s="18" t="s">
        <v>167</v>
      </c>
      <c r="B87" s="19" t="s">
        <v>163</v>
      </c>
      <c r="C87" s="19" t="s">
        <v>164</v>
      </c>
      <c r="D87" s="19" t="s">
        <v>168</v>
      </c>
    </row>
    <row r="88" spans="1:6" ht="38.25" x14ac:dyDescent="0.25">
      <c r="A88" s="18" t="s">
        <v>169</v>
      </c>
      <c r="B88" s="19" t="s">
        <v>163</v>
      </c>
      <c r="C88" s="19" t="s">
        <v>164</v>
      </c>
      <c r="D88" s="19" t="s">
        <v>170</v>
      </c>
    </row>
    <row r="89" spans="1:6" ht="25.5" x14ac:dyDescent="0.25">
      <c r="A89" s="18" t="s">
        <v>171</v>
      </c>
      <c r="B89" s="19" t="s">
        <v>172</v>
      </c>
      <c r="C89" s="19" t="s">
        <v>173</v>
      </c>
      <c r="D89" s="19" t="s">
        <v>174</v>
      </c>
    </row>
    <row r="90" spans="1:6" ht="25.5" x14ac:dyDescent="0.25">
      <c r="A90" s="18" t="s">
        <v>175</v>
      </c>
      <c r="B90" s="19" t="s">
        <v>172</v>
      </c>
      <c r="C90" s="19" t="s">
        <v>173</v>
      </c>
      <c r="D90" s="19" t="s">
        <v>176</v>
      </c>
    </row>
    <row r="91" spans="1:6" ht="25.5" x14ac:dyDescent="0.25">
      <c r="A91" s="18" t="s">
        <v>177</v>
      </c>
      <c r="B91" s="19" t="s">
        <v>172</v>
      </c>
      <c r="C91" s="19" t="s">
        <v>173</v>
      </c>
      <c r="D91" s="19" t="s">
        <v>178</v>
      </c>
    </row>
    <row r="92" spans="1:6" ht="25.5" x14ac:dyDescent="0.25">
      <c r="A92" s="18" t="s">
        <v>179</v>
      </c>
      <c r="B92" s="19" t="s">
        <v>172</v>
      </c>
      <c r="C92" s="19" t="s">
        <v>173</v>
      </c>
      <c r="D92" s="19" t="s">
        <v>180</v>
      </c>
    </row>
    <row r="93" spans="1:6" ht="38.25" x14ac:dyDescent="0.25">
      <c r="A93" s="18" t="s">
        <v>181</v>
      </c>
      <c r="B93" s="19" t="s">
        <v>182</v>
      </c>
      <c r="C93" s="19" t="s">
        <v>183</v>
      </c>
      <c r="D93" s="19" t="s">
        <v>184</v>
      </c>
    </row>
    <row r="94" spans="1:6" ht="38.25" x14ac:dyDescent="0.25">
      <c r="A94" s="18" t="s">
        <v>185</v>
      </c>
      <c r="B94" s="19" t="s">
        <v>182</v>
      </c>
      <c r="C94" s="19" t="s">
        <v>183</v>
      </c>
      <c r="D94" s="19" t="s">
        <v>186</v>
      </c>
    </row>
    <row r="95" spans="1:6" ht="38.25" x14ac:dyDescent="0.25">
      <c r="A95" s="18" t="s">
        <v>187</v>
      </c>
      <c r="B95" s="19" t="s">
        <v>182</v>
      </c>
      <c r="C95" s="19" t="s">
        <v>183</v>
      </c>
      <c r="D95" s="19" t="s">
        <v>188</v>
      </c>
    </row>
    <row r="96" spans="1:6" ht="38.25" x14ac:dyDescent="0.25">
      <c r="A96" s="18" t="s">
        <v>189</v>
      </c>
      <c r="B96" s="19" t="s">
        <v>182</v>
      </c>
      <c r="C96" s="19" t="s">
        <v>183</v>
      </c>
      <c r="D96" s="19" t="s">
        <v>190</v>
      </c>
    </row>
    <row r="97" spans="1:5" ht="25.5" x14ac:dyDescent="0.25">
      <c r="A97" s="18" t="s">
        <v>191</v>
      </c>
      <c r="B97" s="19" t="s">
        <v>192</v>
      </c>
      <c r="C97" s="19" t="s">
        <v>193</v>
      </c>
      <c r="D97" s="19" t="s">
        <v>194</v>
      </c>
    </row>
    <row r="98" spans="1:5" x14ac:dyDescent="0.25">
      <c r="A98" s="18" t="s">
        <v>195</v>
      </c>
      <c r="B98" s="19" t="s">
        <v>192</v>
      </c>
      <c r="C98" s="19" t="s">
        <v>193</v>
      </c>
      <c r="D98" s="19" t="s">
        <v>196</v>
      </c>
    </row>
    <row r="99" spans="1:5" ht="25.5" x14ac:dyDescent="0.25">
      <c r="A99" s="18" t="s">
        <v>197</v>
      </c>
      <c r="B99" s="19" t="s">
        <v>192</v>
      </c>
      <c r="C99" s="19" t="s">
        <v>193</v>
      </c>
      <c r="D99" s="19" t="s">
        <v>198</v>
      </c>
    </row>
    <row r="101" spans="1:5" x14ac:dyDescent="0.25">
      <c r="B101" s="28" t="s">
        <v>199</v>
      </c>
      <c r="C101" s="28" t="s">
        <v>12</v>
      </c>
      <c r="E101" s="28" t="s">
        <v>200</v>
      </c>
    </row>
    <row r="102" spans="1:5" ht="51" x14ac:dyDescent="0.25">
      <c r="A102" s="18">
        <v>1</v>
      </c>
      <c r="B102" s="19" t="s">
        <v>201</v>
      </c>
      <c r="C102" s="19" t="s">
        <v>202</v>
      </c>
      <c r="E102" s="19" t="s">
        <v>203</v>
      </c>
    </row>
    <row r="103" spans="1:5" ht="89.25" x14ac:dyDescent="0.25">
      <c r="A103" s="18">
        <v>2</v>
      </c>
      <c r="B103" s="19" t="s">
        <v>204</v>
      </c>
      <c r="C103" s="19" t="s">
        <v>205</v>
      </c>
      <c r="E103" s="19" t="s">
        <v>206</v>
      </c>
    </row>
    <row r="104" spans="1:5" ht="38.25" x14ac:dyDescent="0.25">
      <c r="A104" s="18">
        <v>3</v>
      </c>
      <c r="B104" s="19" t="s">
        <v>207</v>
      </c>
      <c r="C104" s="19" t="s">
        <v>208</v>
      </c>
      <c r="E104" s="19" t="s">
        <v>209</v>
      </c>
    </row>
    <row r="105" spans="1:5" ht="38.25" x14ac:dyDescent="0.25">
      <c r="A105" s="18">
        <v>4</v>
      </c>
      <c r="B105" s="19" t="s">
        <v>210</v>
      </c>
      <c r="C105" s="19" t="s">
        <v>211</v>
      </c>
      <c r="E105" s="19" t="s">
        <v>212</v>
      </c>
    </row>
    <row r="106" spans="1:5" ht="38.25" x14ac:dyDescent="0.25">
      <c r="A106" s="18">
        <v>5</v>
      </c>
      <c r="B106" s="19" t="s">
        <v>213</v>
      </c>
      <c r="C106" s="19" t="s">
        <v>214</v>
      </c>
    </row>
    <row r="107" spans="1:5" ht="114.75" x14ac:dyDescent="0.25">
      <c r="A107" s="18">
        <v>6</v>
      </c>
      <c r="B107" s="19" t="s">
        <v>215</v>
      </c>
      <c r="C107" s="19" t="s">
        <v>216</v>
      </c>
    </row>
    <row r="108" spans="1:5" ht="51" x14ac:dyDescent="0.25">
      <c r="A108" s="18">
        <v>7</v>
      </c>
      <c r="B108" s="19" t="s">
        <v>217</v>
      </c>
      <c r="C108" s="19" t="s">
        <v>218</v>
      </c>
    </row>
    <row r="109" spans="1:5" ht="51" x14ac:dyDescent="0.25">
      <c r="A109" s="18">
        <v>8</v>
      </c>
      <c r="B109" s="19" t="s">
        <v>219</v>
      </c>
      <c r="C109" s="19" t="s">
        <v>220</v>
      </c>
    </row>
  </sheetData>
  <mergeCells count="25">
    <mergeCell ref="L56:L57"/>
    <mergeCell ref="L58:L59"/>
    <mergeCell ref="H6:H8"/>
    <mergeCell ref="H9:H10"/>
    <mergeCell ref="I54:I55"/>
    <mergeCell ref="I56:I57"/>
    <mergeCell ref="I58:I59"/>
    <mergeCell ref="L54:L55"/>
    <mergeCell ref="B11:C11"/>
    <mergeCell ref="D11:F11"/>
    <mergeCell ref="D12:E12"/>
    <mergeCell ref="F12:F13"/>
    <mergeCell ref="I52:K52"/>
    <mergeCell ref="B12:C12"/>
    <mergeCell ref="B21:B25"/>
    <mergeCell ref="C44:F44"/>
    <mergeCell ref="C52:F52"/>
    <mergeCell ref="B19:C19"/>
    <mergeCell ref="B2:C2"/>
    <mergeCell ref="D2:F2"/>
    <mergeCell ref="H2:K2"/>
    <mergeCell ref="B3:C3"/>
    <mergeCell ref="D3:E3"/>
    <mergeCell ref="F3:F4"/>
    <mergeCell ref="H4:K4"/>
  </mergeCells>
  <phoneticPr fontId="2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4248-AA64-430A-B716-2B5BB9E72BC5}">
  <sheetPr>
    <tabColor rgb="FF002060"/>
  </sheetPr>
  <dimension ref="A1:AZ24"/>
  <sheetViews>
    <sheetView tabSelected="1" zoomScaleNormal="100" workbookViewId="0">
      <pane xSplit="3" ySplit="5" topLeftCell="D6" activePane="bottomRight" state="frozen"/>
      <selection pane="topRight" activeCell="D1" sqref="D1"/>
      <selection pane="bottomLeft" activeCell="A6" sqref="A6"/>
      <selection pane="bottomRight" activeCell="B6" sqref="B6"/>
    </sheetView>
  </sheetViews>
  <sheetFormatPr baseColWidth="10" defaultColWidth="11.42578125" defaultRowHeight="16.5" x14ac:dyDescent="0.25"/>
  <cols>
    <col min="1" max="1" width="9.140625" style="14" customWidth="1"/>
    <col min="2" max="2" width="25.140625" style="15" customWidth="1"/>
    <col min="3" max="3" width="14.85546875" style="15" customWidth="1"/>
    <col min="4" max="4" width="15.7109375" style="15" customWidth="1"/>
    <col min="5" max="5" width="17" style="15" customWidth="1"/>
    <col min="6" max="6" width="23.140625" style="15" customWidth="1"/>
    <col min="7" max="7" width="25.42578125" style="15" customWidth="1"/>
    <col min="8" max="8" width="15.85546875" style="15" customWidth="1"/>
    <col min="9" max="9" width="35.7109375" style="15" customWidth="1"/>
    <col min="10" max="10" width="56.140625" style="14" customWidth="1"/>
    <col min="11" max="11" width="13.42578125" style="14" customWidth="1"/>
    <col min="12" max="12" width="19.7109375" style="14" customWidth="1"/>
    <col min="13" max="13" width="15.42578125" style="14" customWidth="1"/>
    <col min="14" max="14" width="16.42578125" style="14" customWidth="1"/>
    <col min="15" max="15" width="10.7109375" style="14" customWidth="1"/>
    <col min="16" max="16" width="13.42578125" style="14" customWidth="1"/>
    <col min="17" max="17" width="13.7109375" style="15" bestFit="1" customWidth="1"/>
    <col min="18" max="18" width="14.5703125" style="14" customWidth="1"/>
    <col min="19" max="19" width="15.140625" style="14" customWidth="1"/>
    <col min="20" max="20" width="23.85546875" style="14" customWidth="1"/>
    <col min="21" max="21" width="20.140625" style="14" customWidth="1"/>
    <col min="22" max="22" width="17.42578125" style="14" customWidth="1"/>
    <col min="23" max="23" width="12.7109375" style="14" customWidth="1"/>
    <col min="24" max="24" width="16.42578125" style="14" customWidth="1"/>
    <col min="25" max="25" width="9.7109375" style="14" bestFit="1" customWidth="1"/>
    <col min="26" max="26" width="15" style="14" customWidth="1"/>
    <col min="27" max="27" width="12.140625" style="14" customWidth="1"/>
    <col min="28" max="16384" width="11.42578125" style="14"/>
  </cols>
  <sheetData>
    <row r="1" spans="1:52" ht="18" thickTop="1" thickBot="1" x14ac:dyDescent="0.3">
      <c r="A1" s="203" t="s">
        <v>221</v>
      </c>
      <c r="B1" s="203"/>
      <c r="C1" s="193" t="s">
        <v>222</v>
      </c>
      <c r="D1" s="193"/>
      <c r="E1" s="193"/>
      <c r="F1" s="193"/>
      <c r="G1" s="193"/>
      <c r="H1" s="193"/>
      <c r="I1" s="193"/>
      <c r="J1" s="193" t="s">
        <v>222</v>
      </c>
      <c r="K1" s="193"/>
      <c r="L1" s="193"/>
      <c r="M1" s="193"/>
      <c r="N1" s="193" t="s">
        <v>222</v>
      </c>
      <c r="O1" s="193"/>
      <c r="P1" s="193"/>
      <c r="Q1" s="193"/>
      <c r="R1" s="193"/>
      <c r="S1" s="193"/>
      <c r="T1" s="193" t="s">
        <v>222</v>
      </c>
      <c r="U1" s="193"/>
      <c r="V1" s="193"/>
      <c r="W1" s="193"/>
      <c r="X1" s="193"/>
      <c r="Y1" s="193"/>
      <c r="Z1" s="193"/>
      <c r="AA1" s="193"/>
    </row>
    <row r="2" spans="1:52" s="66" customFormat="1" ht="19.5" thickTop="1" thickBot="1" x14ac:dyDescent="0.3">
      <c r="A2" s="200" t="s">
        <v>28</v>
      </c>
      <c r="B2" s="200"/>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67"/>
      <c r="AC2" s="67"/>
      <c r="AD2" s="67"/>
      <c r="AE2" s="67"/>
      <c r="AF2" s="67"/>
      <c r="AG2" s="67"/>
      <c r="AH2" s="67"/>
      <c r="AI2" s="67"/>
      <c r="AJ2" s="67"/>
      <c r="AK2" s="67"/>
      <c r="AL2" s="67"/>
      <c r="AM2" s="67"/>
      <c r="AN2" s="67"/>
      <c r="AO2" s="67"/>
      <c r="AP2" s="67"/>
      <c r="AQ2" s="67"/>
      <c r="AR2" s="67"/>
      <c r="AS2" s="67"/>
      <c r="AT2" s="67"/>
      <c r="AU2" s="67"/>
      <c r="AV2" s="67"/>
      <c r="AW2" s="67"/>
      <c r="AX2" s="67"/>
      <c r="AY2" s="67"/>
      <c r="AZ2" s="67"/>
    </row>
    <row r="3" spans="1:52" ht="18" thickTop="1" thickBot="1" x14ac:dyDescent="0.3">
      <c r="A3" s="201" t="s">
        <v>223</v>
      </c>
      <c r="B3" s="201"/>
      <c r="C3" s="196" t="s">
        <v>224</v>
      </c>
      <c r="D3" s="195"/>
      <c r="E3" s="195"/>
      <c r="F3" s="195"/>
      <c r="G3" s="195"/>
      <c r="H3" s="195"/>
      <c r="I3" s="195"/>
      <c r="J3" s="195"/>
      <c r="K3" s="195"/>
      <c r="L3" s="195"/>
      <c r="M3" s="195"/>
      <c r="N3" s="197" t="s">
        <v>225</v>
      </c>
      <c r="O3" s="198"/>
      <c r="P3" s="198"/>
      <c r="Q3" s="198"/>
      <c r="R3" s="198"/>
      <c r="S3" s="199"/>
      <c r="T3" s="204" t="s">
        <v>226</v>
      </c>
      <c r="U3" s="205"/>
      <c r="V3" s="206" t="s">
        <v>227</v>
      </c>
      <c r="W3" s="207"/>
      <c r="X3" s="207"/>
      <c r="Y3" s="207"/>
      <c r="Z3" s="207"/>
      <c r="AA3" s="208"/>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ht="18" thickTop="1" thickBot="1" x14ac:dyDescent="0.3">
      <c r="A4" s="202" t="s">
        <v>228</v>
      </c>
      <c r="B4" s="202"/>
      <c r="C4" s="196" t="s">
        <v>229</v>
      </c>
      <c r="D4" s="195"/>
      <c r="E4" s="195"/>
      <c r="F4" s="195"/>
      <c r="G4" s="195"/>
      <c r="H4" s="195"/>
      <c r="I4" s="195"/>
      <c r="J4" s="195"/>
      <c r="K4" s="195" t="s">
        <v>230</v>
      </c>
      <c r="L4" s="195"/>
      <c r="M4" s="195"/>
      <c r="N4" s="197" t="s">
        <v>231</v>
      </c>
      <c r="O4" s="199"/>
      <c r="P4" s="197" t="s">
        <v>232</v>
      </c>
      <c r="Q4" s="199"/>
      <c r="R4" s="197" t="s">
        <v>233</v>
      </c>
      <c r="S4" s="199"/>
      <c r="T4" s="204" t="s">
        <v>234</v>
      </c>
      <c r="U4" s="205"/>
      <c r="V4" s="206" t="s">
        <v>235</v>
      </c>
      <c r="W4" s="207"/>
      <c r="X4" s="207"/>
      <c r="Y4" s="207"/>
      <c r="Z4" s="207"/>
      <c r="AA4" s="208"/>
      <c r="AB4" s="16"/>
      <c r="AC4" s="16"/>
      <c r="AD4" s="16"/>
      <c r="AE4" s="16"/>
      <c r="AF4" s="16"/>
      <c r="AG4" s="16"/>
      <c r="AH4" s="16"/>
      <c r="AI4" s="16"/>
      <c r="AJ4" s="16"/>
      <c r="AK4" s="16"/>
      <c r="AL4" s="16"/>
      <c r="AM4" s="16"/>
      <c r="AN4" s="16"/>
      <c r="AO4" s="16"/>
      <c r="AP4" s="16"/>
      <c r="AQ4" s="16"/>
      <c r="AR4" s="16"/>
      <c r="AS4" s="16"/>
      <c r="AT4" s="16"/>
      <c r="AU4" s="16"/>
      <c r="AV4" s="16"/>
      <c r="AW4" s="16"/>
      <c r="AX4" s="16"/>
      <c r="AY4" s="16"/>
      <c r="AZ4" s="16"/>
    </row>
    <row r="5" spans="1:52" ht="31.5" x14ac:dyDescent="0.25">
      <c r="A5" s="93" t="s">
        <v>236</v>
      </c>
      <c r="B5" s="94" t="s">
        <v>237</v>
      </c>
      <c r="C5" s="77" t="s">
        <v>352</v>
      </c>
      <c r="D5" s="94" t="s">
        <v>239</v>
      </c>
      <c r="E5" s="94" t="s">
        <v>695</v>
      </c>
      <c r="F5" s="77" t="s">
        <v>241</v>
      </c>
      <c r="G5" s="77" t="s">
        <v>242</v>
      </c>
      <c r="H5" s="77" t="s">
        <v>243</v>
      </c>
      <c r="I5" s="78" t="s">
        <v>244</v>
      </c>
      <c r="J5" s="93" t="s">
        <v>245</v>
      </c>
      <c r="K5" s="77" t="s">
        <v>110</v>
      </c>
      <c r="L5" s="77" t="s">
        <v>246</v>
      </c>
      <c r="M5" s="93" t="s">
        <v>25</v>
      </c>
      <c r="N5" s="93" t="s">
        <v>247</v>
      </c>
      <c r="O5" s="93" t="s">
        <v>248</v>
      </c>
      <c r="P5" s="93" t="s">
        <v>249</v>
      </c>
      <c r="Q5" s="93" t="s">
        <v>250</v>
      </c>
      <c r="R5" s="93" t="s">
        <v>251</v>
      </c>
      <c r="S5" s="93" t="s">
        <v>252</v>
      </c>
      <c r="T5" s="93" t="s">
        <v>253</v>
      </c>
      <c r="U5" s="93" t="s">
        <v>254</v>
      </c>
      <c r="V5" s="93" t="s">
        <v>255</v>
      </c>
      <c r="W5" s="93" t="s">
        <v>256</v>
      </c>
      <c r="X5" s="93" t="s">
        <v>257</v>
      </c>
      <c r="Y5" s="93" t="s">
        <v>258</v>
      </c>
      <c r="Z5" s="93" t="s">
        <v>259</v>
      </c>
      <c r="AA5" s="93" t="s">
        <v>260</v>
      </c>
      <c r="AB5" s="16"/>
      <c r="AC5" s="16"/>
      <c r="AD5" s="16"/>
      <c r="AE5" s="16"/>
      <c r="AF5" s="16"/>
      <c r="AG5" s="16"/>
      <c r="AH5" s="16"/>
      <c r="AI5" s="16"/>
      <c r="AJ5" s="16"/>
      <c r="AK5" s="16"/>
      <c r="AL5" s="16"/>
      <c r="AM5" s="16"/>
      <c r="AN5" s="16"/>
      <c r="AO5" s="16"/>
      <c r="AP5" s="16"/>
      <c r="AQ5" s="16"/>
      <c r="AR5" s="16"/>
      <c r="AS5" s="16"/>
      <c r="AT5" s="16"/>
      <c r="AU5" s="16"/>
      <c r="AV5" s="16"/>
      <c r="AW5" s="16"/>
      <c r="AX5" s="16"/>
      <c r="AY5" s="16"/>
      <c r="AZ5" s="16"/>
    </row>
    <row r="6" spans="1:52" ht="141.75" x14ac:dyDescent="0.25">
      <c r="A6" s="79">
        <v>6</v>
      </c>
      <c r="B6" s="70" t="s">
        <v>141</v>
      </c>
      <c r="C6" s="71" t="s">
        <v>261</v>
      </c>
      <c r="D6" s="27" t="s">
        <v>155</v>
      </c>
      <c r="E6" s="27" t="s">
        <v>168</v>
      </c>
      <c r="F6" s="80" t="s">
        <v>262</v>
      </c>
      <c r="G6" s="80" t="s">
        <v>263</v>
      </c>
      <c r="H6" s="80" t="s">
        <v>264</v>
      </c>
      <c r="I6" s="80" t="s">
        <v>265</v>
      </c>
      <c r="J6" s="80" t="str">
        <f>IF(I6&lt;&gt;"",CONCATENATE(R_Corrupción[[#This Row],[Acción u omisión]]," ",R_Corrupción[[#This Row],[Beneficio privado]]," ",R_Corrupción[[#This Row],[Uso del poder]]," ",R_Corrupción[[#This Row],[Desviar gestión pública]]),"")</f>
        <v>Posibilidad de recibir a satisfacción bienes o servicios que no cumplan con lo requerido contractualmente, dando visto bueno y recibo a satisfacción de los informes de entrega y para beneficio propio o de terceros con el fin de tramitar el acta de liquidación, pago parcial o final a un proponente específico, sin haber cumplido el objeto contractual, a cambio de una dádiva o beneficio privado</v>
      </c>
      <c r="K6" s="161">
        <f>(120*10)+40</f>
        <v>1240</v>
      </c>
      <c r="L6" s="160" t="s">
        <v>266</v>
      </c>
      <c r="M6" s="72">
        <f>_xlfn.XLOOKUP(R_Corrupción[[#This Row],[ID_R]],C_Corrupción[ID_C],C_Corrupción[Reputación],"",0)</f>
        <v>12</v>
      </c>
      <c r="N6" s="71" t="str">
        <f>_xlfn.XLOOKUP(R_Corrupción[[#This Row],[Pi %]],P_Cuantitativa,P_Cualitativa,"",0)</f>
        <v>Alta</v>
      </c>
      <c r="O6" s="73">
        <f>IF(R_Corrupción[[#This Row],[Frecuencia]]&lt;&gt;"",_xlfn.XLOOKUP(R_Corrupción[[#This Row],[Frecuencia]],Frecuencia,P_Cuantitativa,,-1),"")</f>
        <v>0.8</v>
      </c>
      <c r="P6" s="81" t="str">
        <f>_xlfn.XLOOKUP(R_Corrupción[[#This Row],[Ii %]],I_Cuantitativo,I_Cualitativo,"",0)</f>
        <v>Catastrófico</v>
      </c>
      <c r="Q6" s="73">
        <f>_xlfn.XLOOKUP(R_Corrupción[[#This Row],[Impacto]],Consecuencias,I_Cuantitativo,,-1)</f>
        <v>1</v>
      </c>
      <c r="R6" s="71" t="str">
        <f>_xlfn.XLOOKUP(CONCATENATE(R_Corrupción[[#This Row],[Probabilidad inherente]],R_Corrupción[[#This Row],[Impacto inherente]]),Severidad,S_Posición,"",0)</f>
        <v>Extremo</v>
      </c>
      <c r="S6" s="71">
        <f>_xlfn.XLOOKUP(CONCATENATE(R_Corrupción[[#This Row],[Probabilidad inherente]],R_Corrupción[[#This Row],[Impacto inherente]]),Severidad,S_Nivel,"",0)</f>
        <v>24</v>
      </c>
      <c r="T6" s="82">
        <f>IFERROR(R_Corrupción[[#This Row],[Pi %]]-R_Corrupción[[#This Row],[Pr %]],"")</f>
        <v>0.32000000000000006</v>
      </c>
      <c r="U6" s="82">
        <f>IFERROR(R_Corrupción[[#This Row],[Ii %]]-R_Corrupción[[#This Row],[Ir %]],"")</f>
        <v>0.25</v>
      </c>
      <c r="V6" s="71" t="str">
        <f>_xlfn.XLOOKUP(R_Corrupción[[#This Row],[Pr %]],P_Cuantitativa,P_Cualitativa,"",1)</f>
        <v>Media</v>
      </c>
      <c r="W6" s="83">
        <f>_xlfn.XLOOKUP(R_Corrupción[[#This Row],[ID_R]],C_Corrupción[ID_C],C_Corrupción[Cambio P %],,0)</f>
        <v>0.48</v>
      </c>
      <c r="X6" s="81" t="str">
        <f>_xlfn.XLOOKUP(R_Corrupción[[#This Row],[Ir %]],I_Cuantitativo,I_Cualitativo,"",1)</f>
        <v>Mayor</v>
      </c>
      <c r="Y6" s="83">
        <f>_xlfn.XLOOKUP(R_Corrupción[[#This Row],[ID_R]],C_Corrupción[ID_C],C_Corrupción[Cambio I %],,0)</f>
        <v>0.75</v>
      </c>
      <c r="Z6" s="71" t="str">
        <f>_xlfn.XLOOKUP(CONCATENATE(R_Corrupción[[#This Row],[Probabilidad residual]],R_Corrupción[[#This Row],[Impacto residual]]),Severidad,S_Posición,"",0)</f>
        <v>Alto</v>
      </c>
      <c r="AA6" s="71">
        <f>_xlfn.XLOOKUP(CONCATENATE(R_Corrupción[[#This Row],[Probabilidad residual]],R_Corrupción[[#This Row],[Impacto residual]]),Severidad,S_Nivel,"",0)</f>
        <v>17</v>
      </c>
    </row>
    <row r="7" spans="1:52" ht="148.5" x14ac:dyDescent="0.25">
      <c r="A7" s="79">
        <f t="shared" ref="A7:A21" si="0">A6+6</f>
        <v>12</v>
      </c>
      <c r="B7" s="70" t="s">
        <v>128</v>
      </c>
      <c r="C7" s="71" t="s">
        <v>267</v>
      </c>
      <c r="D7" s="27" t="s">
        <v>155</v>
      </c>
      <c r="E7" s="27" t="s">
        <v>168</v>
      </c>
      <c r="F7" s="27" t="s">
        <v>268</v>
      </c>
      <c r="G7" s="27" t="s">
        <v>269</v>
      </c>
      <c r="H7" s="27" t="s">
        <v>270</v>
      </c>
      <c r="I7" s="80" t="s">
        <v>271</v>
      </c>
      <c r="J7" s="27" t="str">
        <f>IF(I7&lt;&gt;"",CONCATENATE(R_Corrupción[[#This Row],[Acción u omisión]]," ",R_Corrupción[[#This Row],[Beneficio privado]]," ",R_Corrupción[[#This Row],[Uso del poder]]," ",R_Corrupción[[#This Row],[Desviar gestión pública]]),"")</f>
        <v>Posibilidad de tomar decisiones institucionales utilizando recursos públicos para beneficio propio o de un tercero desatendiendo el análisis de capacidades y entornos, definiendo metas inadecuadas para el ICC.</v>
      </c>
      <c r="K7" s="84">
        <v>7</v>
      </c>
      <c r="L7" s="88" t="s">
        <v>272</v>
      </c>
      <c r="M7" s="72">
        <f>_xlfn.XLOOKUP(R_Corrupción[[#This Row],[ID_R]],C_Corrupción[ID_C],C_Corrupción[Reputación],"",0)</f>
        <v>16</v>
      </c>
      <c r="N7" s="71" t="str">
        <f>_xlfn.XLOOKUP(R_Corrupción[[#This Row],[Pi %]],P_Cuantitativa,P_Cualitativa,"",0)</f>
        <v>Baja</v>
      </c>
      <c r="O7" s="73">
        <f>IF(R_Corrupción[[#This Row],[Frecuencia]]&lt;&gt;"",_xlfn.XLOOKUP(R_Corrupción[[#This Row],[Frecuencia]],Frecuencia,P_Cuantitativa,,-1),"")</f>
        <v>0.4</v>
      </c>
      <c r="P7" s="81" t="str">
        <f>_xlfn.XLOOKUP(R_Corrupción[[#This Row],[Ii %]],I_Cuantitativo,I_Cualitativo,"",0)</f>
        <v>Catastrófico</v>
      </c>
      <c r="Q7" s="73">
        <f>_xlfn.XLOOKUP(R_Corrupción[[#This Row],[Impacto]],Consecuencias,I_Cuantitativo,,-1)</f>
        <v>1</v>
      </c>
      <c r="R7" s="71" t="str">
        <f>_xlfn.XLOOKUP(CONCATENATE(R_Corrupción[[#This Row],[Probabilidad inherente]],R_Corrupción[[#This Row],[Impacto inherente]]),Severidad,S_Posición,"",0)</f>
        <v>Extremo</v>
      </c>
      <c r="S7" s="71">
        <f>_xlfn.XLOOKUP(CONCATENATE(R_Corrupción[[#This Row],[Probabilidad inherente]],R_Corrupción[[#This Row],[Impacto inherente]]),Severidad,S_Nivel,"",0)</f>
        <v>22</v>
      </c>
      <c r="T7" s="82">
        <f>IFERROR(R_Corrupción[[#This Row],[Pi %]]-R_Corrupción[[#This Row],[Pr %]],"")</f>
        <v>0.28240000000000004</v>
      </c>
      <c r="U7" s="82">
        <f>IFERROR(R_Corrupción[[#This Row],[Ii %]]-R_Corrupción[[#This Row],[Ir %]],"")</f>
        <v>0.25</v>
      </c>
      <c r="V7" s="71" t="str">
        <f>_xlfn.XLOOKUP(R_Corrupción[[#This Row],[Pr %]],P_Cuantitativa,P_Cualitativa,"",1)</f>
        <v>Muy Baja</v>
      </c>
      <c r="W7" s="83">
        <f>_xlfn.XLOOKUP(R_Corrupción[[#This Row],[ID_R]],C_Corrupción[ID_C],C_Corrupción[Cambio P %],,0)</f>
        <v>0.11759999999999998</v>
      </c>
      <c r="X7" s="81" t="str">
        <f>_xlfn.XLOOKUP(R_Corrupción[[#This Row],[Ir %]],I_Cuantitativo,I_Cualitativo,"",1)</f>
        <v>Mayor</v>
      </c>
      <c r="Y7" s="83">
        <f>_xlfn.XLOOKUP(R_Corrupción[[#This Row],[ID_R]],C_Corrupción[ID_C],C_Corrupción[Cambio I %],,0)</f>
        <v>0.75</v>
      </c>
      <c r="Z7" s="71" t="str">
        <f>_xlfn.XLOOKUP(CONCATENATE(R_Corrupción[[#This Row],[Probabilidad residual]],R_Corrupción[[#This Row],[Impacto residual]]),Severidad,S_Posición,"",0)</f>
        <v>Alto</v>
      </c>
      <c r="AA7" s="71">
        <f>_xlfn.XLOOKUP(CONCATENATE(R_Corrupción[[#This Row],[Probabilidad residual]],R_Corrupción[[#This Row],[Impacto residual]]),Severidad,S_Nivel,"",0)</f>
        <v>14</v>
      </c>
    </row>
    <row r="8" spans="1:52" ht="66" x14ac:dyDescent="0.25">
      <c r="A8" s="79">
        <f t="shared" si="0"/>
        <v>18</v>
      </c>
      <c r="B8" s="70" t="s">
        <v>128</v>
      </c>
      <c r="C8" s="71" t="s">
        <v>273</v>
      </c>
      <c r="D8" s="27" t="s">
        <v>155</v>
      </c>
      <c r="E8" s="27" t="s">
        <v>168</v>
      </c>
      <c r="F8" s="27" t="s">
        <v>274</v>
      </c>
      <c r="G8" s="27" t="s">
        <v>275</v>
      </c>
      <c r="H8" s="27" t="s">
        <v>270</v>
      </c>
      <c r="I8" s="80" t="s">
        <v>276</v>
      </c>
      <c r="J8" s="27" t="str">
        <f>IF(I8&lt;&gt;"",CONCATENATE(R_Corrupción[[#This Row],[Acción u omisión]]," ",R_Corrupción[[#This Row],[Beneficio privado]]," ",R_Corrupción[[#This Row],[Uso del poder]]," ",R_Corrupción[[#This Row],[Desviar gestión pública]]),"")</f>
        <v xml:space="preserve">Posibilidad de omitir o efectuar acciones en procesos judiciales o administrativos  afectando intereses de la entidad para beneficio propio o de un tercero ejecutando actividades inadecuadas para la defensa de la entidad </v>
      </c>
      <c r="K8" s="86">
        <v>7</v>
      </c>
      <c r="L8" s="85" t="s">
        <v>277</v>
      </c>
      <c r="M8" s="72">
        <f>_xlfn.XLOOKUP(R_Corrupción[[#This Row],[ID_R]],C_Corrupción[ID_C],C_Corrupción[Reputación],"",0)</f>
        <v>15</v>
      </c>
      <c r="N8" s="71" t="str">
        <f>_xlfn.XLOOKUP(R_Corrupción[[#This Row],[Pi %]],P_Cuantitativa,P_Cualitativa,"",0)</f>
        <v>Baja</v>
      </c>
      <c r="O8" s="73">
        <f>IF(R_Corrupción[[#This Row],[Frecuencia]]&lt;&gt;"",_xlfn.XLOOKUP(R_Corrupción[[#This Row],[Frecuencia]],Frecuencia,P_Cuantitativa,,-1),"")</f>
        <v>0.4</v>
      </c>
      <c r="P8" s="81" t="str">
        <f>_xlfn.XLOOKUP(R_Corrupción[[#This Row],[Ii %]],I_Cuantitativo,I_Cualitativo,"",0)</f>
        <v>Catastrófico</v>
      </c>
      <c r="Q8" s="73">
        <f>_xlfn.XLOOKUP(R_Corrupción[[#This Row],[Impacto]],Consecuencias,I_Cuantitativo,,-1)</f>
        <v>1</v>
      </c>
      <c r="R8" s="71" t="str">
        <f>_xlfn.XLOOKUP(CONCATENATE(R_Corrupción[[#This Row],[Probabilidad inherente]],R_Corrupción[[#This Row],[Impacto inherente]]),Severidad,S_Posición,"",0)</f>
        <v>Extremo</v>
      </c>
      <c r="S8" s="71">
        <f>_xlfn.XLOOKUP(CONCATENATE(R_Corrupción[[#This Row],[Probabilidad inherente]],R_Corrupción[[#This Row],[Impacto inherente]]),Severidad,S_Nivel,"",0)</f>
        <v>22</v>
      </c>
      <c r="T8" s="82">
        <f>IFERROR(R_Corrupción[[#This Row],[Pi %]]-R_Corrupción[[#This Row],[Pr %]],"")</f>
        <v>0.31768000000000007</v>
      </c>
      <c r="U8" s="82">
        <f>IFERROR(R_Corrupción[[#This Row],[Ii %]]-R_Corrupción[[#This Row],[Ir %]],"")</f>
        <v>0.25</v>
      </c>
      <c r="V8" s="71" t="str">
        <f>_xlfn.XLOOKUP(R_Corrupción[[#This Row],[Pr %]],P_Cuantitativa,P_Cualitativa,"",1)</f>
        <v>Muy Baja</v>
      </c>
      <c r="W8" s="83">
        <f>_xlfn.XLOOKUP(R_Corrupción[[#This Row],[ID_R]],C_Corrupción[ID_C],C_Corrupción[Cambio P %],,0)</f>
        <v>8.2319999999999977E-2</v>
      </c>
      <c r="X8" s="81" t="str">
        <f>_xlfn.XLOOKUP(R_Corrupción[[#This Row],[Ir %]],I_Cuantitativo,I_Cualitativo,"",1)</f>
        <v>Mayor</v>
      </c>
      <c r="Y8" s="83">
        <f>_xlfn.XLOOKUP(R_Corrupción[[#This Row],[ID_R]],C_Corrupción[ID_C],C_Corrupción[Cambio I %],,0)</f>
        <v>0.75</v>
      </c>
      <c r="Z8" s="71" t="str">
        <f>_xlfn.XLOOKUP(CONCATENATE(R_Corrupción[[#This Row],[Probabilidad residual]],R_Corrupción[[#This Row],[Impacto residual]]),Severidad,S_Posición,"",0)</f>
        <v>Alto</v>
      </c>
      <c r="AA8" s="71">
        <f>_xlfn.XLOOKUP(CONCATENATE(R_Corrupción[[#This Row],[Probabilidad residual]],R_Corrupción[[#This Row],[Impacto residual]]),Severidad,S_Nivel,"",0)</f>
        <v>14</v>
      </c>
    </row>
    <row r="9" spans="1:52" ht="99" x14ac:dyDescent="0.25">
      <c r="A9" s="79">
        <f t="shared" si="0"/>
        <v>24</v>
      </c>
      <c r="B9" s="70" t="s">
        <v>140</v>
      </c>
      <c r="C9" s="71" t="s">
        <v>278</v>
      </c>
      <c r="D9" s="27" t="s">
        <v>155</v>
      </c>
      <c r="E9" s="27" t="s">
        <v>168</v>
      </c>
      <c r="F9" s="80" t="s">
        <v>279</v>
      </c>
      <c r="G9" s="80" t="s">
        <v>280</v>
      </c>
      <c r="H9" s="27" t="s">
        <v>281</v>
      </c>
      <c r="I9" s="27" t="s">
        <v>282</v>
      </c>
      <c r="J9" s="27" t="str">
        <f>IF(I9&lt;&gt;"",CONCATENATE(R_Corrupción[[#This Row],[Acción u omisión]]," ",R_Corrupción[[#This Row],[Beneficio privado]]," ",R_Corrupción[[#This Row],[Uso del poder]]," ",R_Corrupción[[#This Row],[Desviar gestión pública]]),"")</f>
        <v>Posibilidad de comunicar información falsa ocultando o adulterando datos en beneficio propio o de un tercero retardando o eliminando información, impidiendo mostrar la realidad institucional a los públicos de interés internos y externos</v>
      </c>
      <c r="K9" s="84">
        <v>130</v>
      </c>
      <c r="L9" s="88" t="s">
        <v>283</v>
      </c>
      <c r="M9" s="72">
        <f>_xlfn.XLOOKUP(R_Corrupción[[#This Row],[ID_R]],C_Corrupción[ID_C],C_Corrupción[Reputación],"",0)</f>
        <v>11</v>
      </c>
      <c r="N9" s="71" t="str">
        <f>_xlfn.XLOOKUP(R_Corrupción[[#This Row],[Pi %]],P_Cuantitativa,P_Cualitativa,"",0)</f>
        <v>Media</v>
      </c>
      <c r="O9" s="73">
        <f>IF(R_Corrupción[[#This Row],[Frecuencia]]&lt;&gt;"",_xlfn.XLOOKUP(R_Corrupción[[#This Row],[Frecuencia]],Frecuencia,P_Cuantitativa,,-1),"")</f>
        <v>0.6</v>
      </c>
      <c r="P9" s="81" t="str">
        <f>_xlfn.XLOOKUP(R_Corrupción[[#This Row],[Ii %]],I_Cuantitativo,I_Cualitativo,"",0)</f>
        <v>Mayor</v>
      </c>
      <c r="Q9" s="73">
        <f>_xlfn.XLOOKUP(R_Corrupción[[#This Row],[Impacto]],Consecuencias,I_Cuantitativo,,-1)</f>
        <v>0.8</v>
      </c>
      <c r="R9" s="71" t="str">
        <f>_xlfn.XLOOKUP(CONCATENATE(R_Corrupción[[#This Row],[Probabilidad inherente]],R_Corrupción[[#This Row],[Impacto inherente]]),Severidad,S_Posición,"",0)</f>
        <v>Alto</v>
      </c>
      <c r="S9" s="71">
        <f>_xlfn.XLOOKUP(CONCATENATE(R_Corrupción[[#This Row],[Probabilidad inherente]],R_Corrupción[[#This Row],[Impacto inherente]]),Severidad,S_Nivel,"",0)</f>
        <v>17</v>
      </c>
      <c r="T9" s="82">
        <f>IFERROR(R_Corrupción[[#This Row],[Pi %]]-R_Corrupción[[#This Row],[Pr %]],"")</f>
        <v>0.47039999999999998</v>
      </c>
      <c r="U9" s="82">
        <f>IFERROR(R_Corrupción[[#This Row],[Ii %]]-R_Corrupción[[#This Row],[Ir %]],"")</f>
        <v>0.19999999999999996</v>
      </c>
      <c r="V9" s="71" t="str">
        <f>_xlfn.XLOOKUP(R_Corrupción[[#This Row],[Pr %]],P_Cuantitativa,P_Cualitativa,"",1)</f>
        <v>Muy Baja</v>
      </c>
      <c r="W9" s="83">
        <f>_xlfn.XLOOKUP(R_Corrupción[[#This Row],[ID_R]],C_Corrupción[ID_C],C_Corrupción[Cambio P %],,0)</f>
        <v>0.12959999999999999</v>
      </c>
      <c r="X9" s="81" t="str">
        <f>_xlfn.XLOOKUP(R_Corrupción[[#This Row],[Ir %]],I_Cuantitativo,I_Cualitativo,"",1)</f>
        <v>Mayor</v>
      </c>
      <c r="Y9" s="83">
        <f>_xlfn.XLOOKUP(R_Corrupción[[#This Row],[ID_R]],C_Corrupción[ID_C],C_Corrupción[Cambio I %],,0)</f>
        <v>0.60000000000000009</v>
      </c>
      <c r="Z9" s="71" t="str">
        <f>_xlfn.XLOOKUP(CONCATENATE(R_Corrupción[[#This Row],[Probabilidad residual]],R_Corrupción[[#This Row],[Impacto residual]]),Severidad,S_Posición,"",0)</f>
        <v>Alto</v>
      </c>
      <c r="AA9" s="71">
        <f>_xlfn.XLOOKUP(CONCATENATE(R_Corrupción[[#This Row],[Probabilidad residual]],R_Corrupción[[#This Row],[Impacto residual]]),Severidad,S_Nivel,"",0)</f>
        <v>14</v>
      </c>
    </row>
    <row r="10" spans="1:52" ht="49.5" x14ac:dyDescent="0.25">
      <c r="A10" s="79">
        <f t="shared" si="0"/>
        <v>30</v>
      </c>
      <c r="B10" s="70" t="s">
        <v>134</v>
      </c>
      <c r="C10" s="71" t="s">
        <v>284</v>
      </c>
      <c r="D10" s="27" t="s">
        <v>155</v>
      </c>
      <c r="E10" s="27" t="s">
        <v>168</v>
      </c>
      <c r="F10" s="27" t="s">
        <v>285</v>
      </c>
      <c r="G10" s="27" t="s">
        <v>286</v>
      </c>
      <c r="H10" s="27" t="s">
        <v>287</v>
      </c>
      <c r="I10" s="27" t="s">
        <v>288</v>
      </c>
      <c r="J10" s="27" t="str">
        <f>IF(I10&lt;&gt;"",CONCATENATE(R_Corrupción[[#This Row],[Acción u omisión]]," ",R_Corrupción[[#This Row],[Beneficio privado]]," ",R_Corrupción[[#This Row],[Uso del poder]]," ",R_Corrupción[[#This Row],[Desviar gestión pública]]),"")</f>
        <v>Posibilidad de recibir dádivas para ajustar notas de estudiantes por parte del docente omitiendo la evaluación objetiva</v>
      </c>
      <c r="K10" s="84">
        <v>126</v>
      </c>
      <c r="L10" s="85" t="s">
        <v>289</v>
      </c>
      <c r="M10" s="72">
        <f>_xlfn.XLOOKUP(R_Corrupción[[#This Row],[ID_R]],C_Corrupción[ID_C],C_Corrupción[Reputación],"",0)</f>
        <v>9</v>
      </c>
      <c r="N10" s="71" t="str">
        <f>_xlfn.XLOOKUP(R_Corrupción[[#This Row],[Pi %]],P_Cuantitativa,P_Cualitativa,"",0)</f>
        <v>Media</v>
      </c>
      <c r="O10" s="73">
        <f>IF(R_Corrupción[[#This Row],[Frecuencia]]&lt;&gt;"",_xlfn.XLOOKUP(R_Corrupción[[#This Row],[Frecuencia]],Frecuencia,P_Cuantitativa,,-1),"")</f>
        <v>0.6</v>
      </c>
      <c r="P10" s="81" t="str">
        <f>_xlfn.XLOOKUP(R_Corrupción[[#This Row],[Ii %]],I_Cuantitativo,I_Cualitativo,"",0)</f>
        <v>Mayor</v>
      </c>
      <c r="Q10" s="73">
        <f>_xlfn.XLOOKUP(R_Corrupción[[#This Row],[Impacto]],Consecuencias,I_Cuantitativo,,-1)</f>
        <v>0.8</v>
      </c>
      <c r="R10" s="71" t="str">
        <f>_xlfn.XLOOKUP(CONCATENATE(R_Corrupción[[#This Row],[Probabilidad inherente]],R_Corrupción[[#This Row],[Impacto inherente]]),Severidad,S_Posición,"",0)</f>
        <v>Alto</v>
      </c>
      <c r="S10" s="71">
        <f>_xlfn.XLOOKUP(CONCATENATE(R_Corrupción[[#This Row],[Probabilidad inherente]],R_Corrupción[[#This Row],[Impacto inherente]]),Severidad,S_Nivel,"",0)</f>
        <v>17</v>
      </c>
      <c r="T10" s="82">
        <f>IFERROR(R_Corrupción[[#This Row],[Pi %]]-R_Corrupción[[#This Row],[Pr %]],"")</f>
        <v>0.34799999999999998</v>
      </c>
      <c r="U10" s="82">
        <f>IFERROR(R_Corrupción[[#This Row],[Ii %]]-R_Corrupción[[#This Row],[Ir %]],"")</f>
        <v>0.35</v>
      </c>
      <c r="V10" s="71" t="str">
        <f>_xlfn.XLOOKUP(R_Corrupción[[#This Row],[Pr %]],P_Cuantitativa,P_Cualitativa,"",1)</f>
        <v>Baja</v>
      </c>
      <c r="W10" s="83">
        <f>_xlfn.XLOOKUP(R_Corrupción[[#This Row],[ID_R]],C_Corrupción[ID_C],C_Corrupción[Cambio P %],,0)</f>
        <v>0.252</v>
      </c>
      <c r="X10" s="81" t="str">
        <f>_xlfn.XLOOKUP(R_Corrupción[[#This Row],[Ir %]],I_Cuantitativo,I_Cualitativo,"",1)</f>
        <v>Moderado</v>
      </c>
      <c r="Y10" s="83">
        <f>_xlfn.XLOOKUP(R_Corrupción[[#This Row],[ID_R]],C_Corrupción[ID_C],C_Corrupción[Cambio I %],,0)</f>
        <v>0.45000000000000007</v>
      </c>
      <c r="Z10" s="71" t="str">
        <f>_xlfn.XLOOKUP(CONCATENATE(R_Corrupción[[#This Row],[Probabilidad residual]],R_Corrupción[[#This Row],[Impacto residual]]),Severidad,S_Posición,"",0)</f>
        <v>Moderado</v>
      </c>
      <c r="AA10" s="71">
        <f>_xlfn.XLOOKUP(CONCATENATE(R_Corrupción[[#This Row],[Probabilidad residual]],R_Corrupción[[#This Row],[Impacto residual]]),Severidad,S_Nivel,"",0)</f>
        <v>12</v>
      </c>
    </row>
    <row r="11" spans="1:52" ht="66" x14ac:dyDescent="0.25">
      <c r="A11" s="79">
        <f t="shared" si="0"/>
        <v>36</v>
      </c>
      <c r="B11" s="70" t="s">
        <v>145</v>
      </c>
      <c r="C11" s="71" t="s">
        <v>290</v>
      </c>
      <c r="D11" s="27" t="s">
        <v>155</v>
      </c>
      <c r="E11" s="27" t="s">
        <v>168</v>
      </c>
      <c r="F11" s="27" t="s">
        <v>291</v>
      </c>
      <c r="G11" s="27" t="s">
        <v>292</v>
      </c>
      <c r="H11" s="27" t="s">
        <v>293</v>
      </c>
      <c r="I11" s="80" t="s">
        <v>294</v>
      </c>
      <c r="J11" s="27" t="str">
        <f>IF(I11&lt;&gt;"",CONCATENATE(R_Corrupción[[#This Row],[Acción u omisión]]," ",R_Corrupción[[#This Row],[Beneficio privado]]," ",R_Corrupción[[#This Row],[Uso del poder]]," ",R_Corrupción[[#This Row],[Desviar gestión pública]]),"")</f>
        <v>Posibilidad de recibir o solicitar cualquier dádiva o beneficio a nombre propio o de terceros con el fin de archivar o fallar de forma inexacta los procesos disciplinarios, ocultando u omitiendo información veraz</v>
      </c>
      <c r="K11" s="86">
        <v>30</v>
      </c>
      <c r="L11" s="85" t="s">
        <v>295</v>
      </c>
      <c r="M11" s="87">
        <f>_xlfn.XLOOKUP(R_Corrupción[[#This Row],[ID_R]],C_Corrupción[ID_C],C_Corrupción[Reputación],"",0)</f>
        <v>13</v>
      </c>
      <c r="N11" s="71" t="str">
        <f>_xlfn.XLOOKUP(R_Corrupción[[#This Row],[Pi %]],P_Cuantitativa,P_Cualitativa,"",0)</f>
        <v>Media</v>
      </c>
      <c r="O11" s="73">
        <f>IF(R_Corrupción[[#This Row],[Frecuencia]]&lt;&gt;"",_xlfn.XLOOKUP(R_Corrupción[[#This Row],[Frecuencia]],Frecuencia,P_Cuantitativa,,-1),"")</f>
        <v>0.6</v>
      </c>
      <c r="P11" s="81" t="str">
        <f>_xlfn.XLOOKUP(R_Corrupción[[#This Row],[Ii %]],I_Cuantitativo,I_Cualitativo,"",0)</f>
        <v>Catastrófico</v>
      </c>
      <c r="Q11" s="73">
        <f>_xlfn.XLOOKUP(R_Corrupción[[#This Row],[Impacto]],Consecuencias,I_Cuantitativo,,-1)</f>
        <v>1</v>
      </c>
      <c r="R11" s="71" t="str">
        <f>_xlfn.XLOOKUP(CONCATENATE(R_Corrupción[[#This Row],[Probabilidad inherente]],R_Corrupción[[#This Row],[Impacto inherente]]),Severidad,S_Posición,"",0)</f>
        <v>Extremo</v>
      </c>
      <c r="S11" s="71">
        <f>_xlfn.XLOOKUP(CONCATENATE(R_Corrupción[[#This Row],[Probabilidad inherente]],R_Corrupción[[#This Row],[Impacto inherente]]),Severidad,S_Nivel,"",0)</f>
        <v>23</v>
      </c>
      <c r="T11" s="82">
        <f>IFERROR(R_Corrupción[[#This Row],[Pi %]]-R_Corrupción[[#This Row],[Pr %]],"")</f>
        <v>0.34799999999999998</v>
      </c>
      <c r="U11" s="82">
        <f>IFERROR(R_Corrupción[[#This Row],[Ii %]]-R_Corrupción[[#This Row],[Ir %]],"")</f>
        <v>0.25</v>
      </c>
      <c r="V11" s="71" t="str">
        <f>_xlfn.XLOOKUP(R_Corrupción[[#This Row],[Pr %]],P_Cuantitativa,P_Cualitativa,"",1)</f>
        <v>Baja</v>
      </c>
      <c r="W11" s="83">
        <f>_xlfn.XLOOKUP(R_Corrupción[[#This Row],[ID_R]],C_Corrupción[ID_C],C_Corrupción[Cambio P %],,0)</f>
        <v>0.252</v>
      </c>
      <c r="X11" s="81" t="str">
        <f>_xlfn.XLOOKUP(R_Corrupción[[#This Row],[Ir %]],I_Cuantitativo,I_Cualitativo,"",1)</f>
        <v>Mayor</v>
      </c>
      <c r="Y11" s="83">
        <f>_xlfn.XLOOKUP(R_Corrupción[[#This Row],[ID_R]],C_Corrupción[ID_C],C_Corrupción[Cambio I %],,0)</f>
        <v>0.75</v>
      </c>
      <c r="Z11" s="71" t="str">
        <f>_xlfn.XLOOKUP(CONCATENATE(R_Corrupción[[#This Row],[Probabilidad residual]],R_Corrupción[[#This Row],[Impacto residual]]),Severidad,S_Posición,"",0)</f>
        <v>Alto</v>
      </c>
      <c r="AA11" s="71">
        <f>_xlfn.XLOOKUP(CONCATENATE(R_Corrupción[[#This Row],[Probabilidad residual]],R_Corrupción[[#This Row],[Impacto residual]]),Severidad,S_Nivel,"",0)</f>
        <v>16</v>
      </c>
    </row>
    <row r="12" spans="1:52" ht="49.5" x14ac:dyDescent="0.25">
      <c r="A12" s="79">
        <f t="shared" si="0"/>
        <v>42</v>
      </c>
      <c r="B12" s="70" t="s">
        <v>139</v>
      </c>
      <c r="C12" s="71" t="s">
        <v>296</v>
      </c>
      <c r="D12" s="27" t="s">
        <v>155</v>
      </c>
      <c r="E12" s="27" t="s">
        <v>168</v>
      </c>
      <c r="F12" s="27" t="s">
        <v>291</v>
      </c>
      <c r="G12" s="27" t="s">
        <v>292</v>
      </c>
      <c r="H12" s="27" t="s">
        <v>293</v>
      </c>
      <c r="I12" s="27" t="s">
        <v>297</v>
      </c>
      <c r="J12" s="80" t="str">
        <f>IF(I12&lt;&gt;"",CONCATENATE(R_Corrupción[[#This Row],[Acción u omisión]]," ",R_Corrupción[[#This Row],[Beneficio privado]]," ",R_Corrupción[[#This Row],[Uso del poder]]," ",R_Corrupción[[#This Row],[Desviar gestión pública]]),"")</f>
        <v>Posibilidad de recibir o solicitar cualquier dádiva o beneficio a nombre propio o de terceros con el fin de celebrar una alianza</v>
      </c>
      <c r="K12" s="86">
        <v>4</v>
      </c>
      <c r="L12" s="88" t="s">
        <v>139</v>
      </c>
      <c r="M12" s="87">
        <f>_xlfn.XLOOKUP(R_Corrupción[[#This Row],[ID_R]],C_Corrupción[ID_C],C_Corrupción[Reputación],"",0)</f>
        <v>14</v>
      </c>
      <c r="N12" s="71" t="str">
        <f>_xlfn.XLOOKUP(R_Corrupción[[#This Row],[Pi %]],P_Cuantitativa,P_Cualitativa,"",0)</f>
        <v>Baja</v>
      </c>
      <c r="O12" s="73">
        <f>IF(R_Corrupción[[#This Row],[Frecuencia]]&lt;&gt;"",_xlfn.XLOOKUP(R_Corrupción[[#This Row],[Frecuencia]],Frecuencia,P_Cuantitativa,,-1),"")</f>
        <v>0.4</v>
      </c>
      <c r="P12" s="81" t="str">
        <f>_xlfn.XLOOKUP(R_Corrupción[[#This Row],[Ii %]],I_Cuantitativo,I_Cualitativo,"",0)</f>
        <v>Catastrófico</v>
      </c>
      <c r="Q12" s="73">
        <f>_xlfn.XLOOKUP(R_Corrupción[[#This Row],[Impacto]],Consecuencias,I_Cuantitativo,,-1)</f>
        <v>1</v>
      </c>
      <c r="R12" s="71" t="str">
        <f>_xlfn.XLOOKUP(CONCATENATE(R_Corrupción[[#This Row],[Probabilidad inherente]],R_Corrupción[[#This Row],[Impacto inherente]]),Severidad,S_Posición,"",0)</f>
        <v>Extremo</v>
      </c>
      <c r="S12" s="71">
        <f>_xlfn.XLOOKUP(CONCATENATE(R_Corrupción[[#This Row],[Probabilidad inherente]],R_Corrupción[[#This Row],[Impacto inherente]]),Severidad,S_Nivel,"",0)</f>
        <v>22</v>
      </c>
      <c r="T12" s="82">
        <f>IFERROR(R_Corrupción[[#This Row],[Pi %]]-R_Corrupción[[#This Row],[Pr %]],"")</f>
        <v>0.23200000000000004</v>
      </c>
      <c r="U12" s="82">
        <f>IFERROR(R_Corrupción[[#This Row],[Ii %]]-R_Corrupción[[#This Row],[Ir %]],"")</f>
        <v>0.25</v>
      </c>
      <c r="V12" s="71" t="str">
        <f>_xlfn.XLOOKUP(R_Corrupción[[#This Row],[Pr %]],P_Cuantitativa,P_Cualitativa,"",1)</f>
        <v>Muy Baja</v>
      </c>
      <c r="W12" s="83">
        <f>_xlfn.XLOOKUP(R_Corrupción[[#This Row],[ID_R]],C_Corrupción[ID_C],C_Corrupción[Cambio P %],,0)</f>
        <v>0.16799999999999998</v>
      </c>
      <c r="X12" s="81" t="str">
        <f>_xlfn.XLOOKUP(R_Corrupción[[#This Row],[Ir %]],I_Cuantitativo,I_Cualitativo,"",1)</f>
        <v>Mayor</v>
      </c>
      <c r="Y12" s="83">
        <f>_xlfn.XLOOKUP(R_Corrupción[[#This Row],[ID_R]],C_Corrupción[ID_C],C_Corrupción[Cambio I %],,0)</f>
        <v>0.75</v>
      </c>
      <c r="Z12" s="71" t="str">
        <f>_xlfn.XLOOKUP(CONCATENATE(R_Corrupción[[#This Row],[Probabilidad residual]],R_Corrupción[[#This Row],[Impacto residual]]),Severidad,S_Posición,"",0)</f>
        <v>Alto</v>
      </c>
      <c r="AA12" s="71">
        <f>_xlfn.XLOOKUP(CONCATENATE(R_Corrupción[[#This Row],[Probabilidad residual]],R_Corrupción[[#This Row],[Impacto residual]]),Severidad,S_Nivel,"",0)</f>
        <v>14</v>
      </c>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row>
    <row r="13" spans="1:52" ht="49.5" x14ac:dyDescent="0.25">
      <c r="A13" s="79">
        <f t="shared" si="0"/>
        <v>48</v>
      </c>
      <c r="B13" s="70" t="s">
        <v>143</v>
      </c>
      <c r="C13" s="71" t="s">
        <v>298</v>
      </c>
      <c r="D13" s="27" t="s">
        <v>155</v>
      </c>
      <c r="E13" s="27" t="s">
        <v>168</v>
      </c>
      <c r="F13" s="27" t="s">
        <v>299</v>
      </c>
      <c r="G13" s="27" t="s">
        <v>300</v>
      </c>
      <c r="H13" s="27" t="s">
        <v>301</v>
      </c>
      <c r="I13" s="27" t="s">
        <v>302</v>
      </c>
      <c r="J13" s="80" t="str">
        <f>IF(I13&lt;&gt;"",CONCATENATE(R_Corrupción[[#This Row],[Acción u omisión]]," ",R_Corrupción[[#This Row],[Beneficio privado]]," ",R_Corrupción[[#This Row],[Uso del poder]]," ",R_Corrupción[[#This Row],[Desviar gestión pública]]),"")</f>
        <v>Posibilidad de omitir deducciones tributarias o de otro tipo, utilizando las herramientas y bases de datos oficiales a nombre propio con el fin de obtener una retribución económica</v>
      </c>
      <c r="K13" s="86">
        <v>1000</v>
      </c>
      <c r="L13" s="85" t="s">
        <v>303</v>
      </c>
      <c r="M13" s="72">
        <f>_xlfn.XLOOKUP(R_Corrupción[[#This Row],[ID_R]],C_Corrupción[ID_C],C_Corrupción[Reputación],"",0)</f>
        <v>11</v>
      </c>
      <c r="N13" s="71" t="str">
        <f>_xlfn.XLOOKUP(R_Corrupción[[#This Row],[Pi %]],P_Cuantitativa,P_Cualitativa,"",0)</f>
        <v>Alta</v>
      </c>
      <c r="O13" s="73">
        <f>IF(R_Corrupción[[#This Row],[Frecuencia]]&lt;&gt;"",_xlfn.XLOOKUP(R_Corrupción[[#This Row],[Frecuencia]],Frecuencia,P_Cuantitativa,,-1),"")</f>
        <v>0.8</v>
      </c>
      <c r="P13" s="81" t="str">
        <f>_xlfn.XLOOKUP(R_Corrupción[[#This Row],[Ii %]],I_Cuantitativo,I_Cualitativo,"",0)</f>
        <v>Mayor</v>
      </c>
      <c r="Q13" s="73">
        <f>_xlfn.XLOOKUP(R_Corrupción[[#This Row],[Impacto]],Consecuencias,I_Cuantitativo,,-1)</f>
        <v>0.8</v>
      </c>
      <c r="R13" s="71" t="str">
        <f>_xlfn.XLOOKUP(CONCATENATE(R_Corrupción[[#This Row],[Probabilidad inherente]],R_Corrupción[[#This Row],[Impacto inherente]]),Severidad,S_Posición,"",0)</f>
        <v>Alto</v>
      </c>
      <c r="S13" s="71">
        <f>_xlfn.XLOOKUP(CONCATENATE(R_Corrupción[[#This Row],[Probabilidad inherente]],R_Corrupción[[#This Row],[Impacto inherente]]),Severidad,S_Nivel,"",0)</f>
        <v>19</v>
      </c>
      <c r="T13" s="82">
        <f>IFERROR(R_Corrupción[[#This Row],[Pi %]]-R_Corrupción[[#This Row],[Pr %]],"")</f>
        <v>0.59840000000000004</v>
      </c>
      <c r="U13" s="82">
        <f>IFERROR(R_Corrupción[[#This Row],[Ii %]]-R_Corrupción[[#This Row],[Ir %]],"")</f>
        <v>0.19999999999999996</v>
      </c>
      <c r="V13" s="71" t="str">
        <f>_xlfn.XLOOKUP(R_Corrupción[[#This Row],[Pr %]],P_Cuantitativa,P_Cualitativa,"",1)</f>
        <v>Baja</v>
      </c>
      <c r="W13" s="83">
        <f>_xlfn.XLOOKUP(R_Corrupción[[#This Row],[ID_R]],C_Corrupción[ID_C],C_Corrupción[Cambio P %],,0)</f>
        <v>0.20159999999999997</v>
      </c>
      <c r="X13" s="81" t="str">
        <f>_xlfn.XLOOKUP(R_Corrupción[[#This Row],[Ir %]],I_Cuantitativo,I_Cualitativo,"",1)</f>
        <v>Mayor</v>
      </c>
      <c r="Y13" s="83">
        <f>_xlfn.XLOOKUP(R_Corrupción[[#This Row],[ID_R]],C_Corrupción[ID_C],C_Corrupción[Cambio I %],,0)</f>
        <v>0.60000000000000009</v>
      </c>
      <c r="Z13" s="71" t="str">
        <f>_xlfn.XLOOKUP(CONCATENATE(R_Corrupción[[#This Row],[Probabilidad residual]],R_Corrupción[[#This Row],[Impacto residual]]),Severidad,S_Posición,"",0)</f>
        <v>Alto</v>
      </c>
      <c r="AA13" s="71">
        <f>_xlfn.XLOOKUP(CONCATENATE(R_Corrupción[[#This Row],[Probabilidad residual]],R_Corrupción[[#This Row],[Impacto residual]]),Severidad,S_Nivel,"",0)</f>
        <v>16</v>
      </c>
    </row>
    <row r="14" spans="1:52" ht="66" x14ac:dyDescent="0.25">
      <c r="A14" s="79">
        <f t="shared" si="0"/>
        <v>54</v>
      </c>
      <c r="B14" s="70" t="s">
        <v>143</v>
      </c>
      <c r="C14" s="71" t="s">
        <v>304</v>
      </c>
      <c r="D14" s="27" t="s">
        <v>155</v>
      </c>
      <c r="E14" s="27" t="s">
        <v>168</v>
      </c>
      <c r="F14" s="27" t="s">
        <v>305</v>
      </c>
      <c r="G14" s="27" t="s">
        <v>306</v>
      </c>
      <c r="H14" s="27" t="s">
        <v>301</v>
      </c>
      <c r="I14" s="27" t="s">
        <v>302</v>
      </c>
      <c r="J14" s="27" t="str">
        <f>IF(I14&lt;&gt;"",CONCATENATE(R_Corrupción[[#This Row],[Acción u omisión]]," ",R_Corrupción[[#This Row],[Beneficio privado]]," ",R_Corrupción[[#This Row],[Uso del poder]]," ",R_Corrupción[[#This Row],[Desviar gestión pública]]),"")</f>
        <v>Posibilidad de solicitar dádivas para tramitar pagos a personas jurídicas o naturales utilizando los documentos y sistemas de información institucionales a nombre propio con el fin de obtener una retribución económica</v>
      </c>
      <c r="K14" s="86">
        <v>1000</v>
      </c>
      <c r="L14" s="85" t="s">
        <v>307</v>
      </c>
      <c r="M14" s="87">
        <f>_xlfn.XLOOKUP(R_Corrupción[[#This Row],[ID_R]],C_Corrupción[ID_C],C_Corrupción[Reputación],"",0)</f>
        <v>11</v>
      </c>
      <c r="N14" s="71" t="str">
        <f>_xlfn.XLOOKUP(R_Corrupción[[#This Row],[Pi %]],P_Cuantitativa,P_Cualitativa,"",0)</f>
        <v>Alta</v>
      </c>
      <c r="O14" s="73">
        <f>IF(R_Corrupción[[#This Row],[Frecuencia]]&lt;&gt;"",_xlfn.XLOOKUP(R_Corrupción[[#This Row],[Frecuencia]],Frecuencia,P_Cuantitativa,,-1),"")</f>
        <v>0.8</v>
      </c>
      <c r="P14" s="81" t="str">
        <f>_xlfn.XLOOKUP(R_Corrupción[[#This Row],[Ii %]],I_Cuantitativo,I_Cualitativo,"",0)</f>
        <v>Mayor</v>
      </c>
      <c r="Q14" s="73">
        <f>_xlfn.XLOOKUP(R_Corrupción[[#This Row],[Impacto]],Consecuencias,I_Cuantitativo,,-1)</f>
        <v>0.8</v>
      </c>
      <c r="R14" s="71" t="str">
        <f>_xlfn.XLOOKUP(CONCATENATE(R_Corrupción[[#This Row],[Probabilidad inherente]],R_Corrupción[[#This Row],[Impacto inherente]]),Severidad,S_Posición,"",0)</f>
        <v>Alto</v>
      </c>
      <c r="S14" s="71">
        <f>_xlfn.XLOOKUP(CONCATENATE(R_Corrupción[[#This Row],[Probabilidad inherente]],R_Corrupción[[#This Row],[Impacto inherente]]),Severidad,S_Nivel,"",0)</f>
        <v>19</v>
      </c>
      <c r="T14" s="82">
        <f>IFERROR(R_Corrupción[[#This Row],[Pi %]]-R_Corrupción[[#This Row],[Pr %]],"")</f>
        <v>0.46400000000000008</v>
      </c>
      <c r="U14" s="82">
        <f>IFERROR(R_Corrupción[[#This Row],[Ii %]]-R_Corrupción[[#This Row],[Ir %]],"")</f>
        <v>0.19999999999999996</v>
      </c>
      <c r="V14" s="71" t="str">
        <f>_xlfn.XLOOKUP(R_Corrupción[[#This Row],[Pr %]],P_Cuantitativa,P_Cualitativa,"",1)</f>
        <v>Baja</v>
      </c>
      <c r="W14" s="83">
        <f>_xlfn.XLOOKUP(R_Corrupción[[#This Row],[ID_R]],C_Corrupción[ID_C],C_Corrupción[Cambio P %],,0)</f>
        <v>0.33599999999999997</v>
      </c>
      <c r="X14" s="81" t="str">
        <f>_xlfn.XLOOKUP(R_Corrupción[[#This Row],[Ir %]],I_Cuantitativo,I_Cualitativo,"",1)</f>
        <v>Mayor</v>
      </c>
      <c r="Y14" s="83">
        <f>_xlfn.XLOOKUP(R_Corrupción[[#This Row],[ID_R]],C_Corrupción[ID_C],C_Corrupción[Cambio I %],,0)</f>
        <v>0.60000000000000009</v>
      </c>
      <c r="Z14" s="71" t="str">
        <f>_xlfn.XLOOKUP(CONCATENATE(R_Corrupción[[#This Row],[Probabilidad residual]],R_Corrupción[[#This Row],[Impacto residual]]),Severidad,S_Posición,"",0)</f>
        <v>Alto</v>
      </c>
      <c r="AA14" s="71">
        <f>_xlfn.XLOOKUP(CONCATENATE(R_Corrupción[[#This Row],[Probabilidad residual]],R_Corrupción[[#This Row],[Impacto residual]]),Severidad,S_Nivel,"",0)</f>
        <v>16</v>
      </c>
    </row>
    <row r="15" spans="1:52" ht="66" x14ac:dyDescent="0.25">
      <c r="A15" s="79">
        <f t="shared" si="0"/>
        <v>60</v>
      </c>
      <c r="B15" s="70" t="s">
        <v>143</v>
      </c>
      <c r="C15" s="71" t="s">
        <v>308</v>
      </c>
      <c r="D15" s="27" t="s">
        <v>155</v>
      </c>
      <c r="E15" s="27" t="s">
        <v>168</v>
      </c>
      <c r="F15" s="27" t="s">
        <v>309</v>
      </c>
      <c r="G15" s="27" t="s">
        <v>310</v>
      </c>
      <c r="H15" s="27" t="s">
        <v>311</v>
      </c>
      <c r="I15" s="80" t="s">
        <v>312</v>
      </c>
      <c r="J15" s="80" t="str">
        <f>IF(I15&lt;&gt;"",CONCATENATE(R_Corrupción[[#This Row],[Acción u omisión]]," ",R_Corrupción[[#This Row],[Beneficio privado]]," ",R_Corrupción[[#This Row],[Uso del poder]]," ",R_Corrupción[[#This Row],[Desviar gestión pública]]),"")</f>
        <v>Posibilidad del uso indebido de dinero en efectivo desviando recursos públicos a otros propósitos a nombre propio o de un tercero con el fin obtener un beneficio particular</v>
      </c>
      <c r="K15" s="86">
        <v>70</v>
      </c>
      <c r="L15" s="85" t="s">
        <v>313</v>
      </c>
      <c r="M15" s="87">
        <f>_xlfn.XLOOKUP(R_Corrupción[[#This Row],[ID_R]],C_Corrupción[ID_C],C_Corrupción[Reputación],"",0)</f>
        <v>11</v>
      </c>
      <c r="N15" s="71" t="str">
        <f>_xlfn.XLOOKUP(R_Corrupción[[#This Row],[Pi %]],P_Cuantitativa,P_Cualitativa,"",0)</f>
        <v>Media</v>
      </c>
      <c r="O15" s="73">
        <f>IF(R_Corrupción[[#This Row],[Frecuencia]]&lt;&gt;"",_xlfn.XLOOKUP(R_Corrupción[[#This Row],[Frecuencia]],Frecuencia,P_Cuantitativa,,-1),"")</f>
        <v>0.6</v>
      </c>
      <c r="P15" s="81" t="str">
        <f>_xlfn.XLOOKUP(R_Corrupción[[#This Row],[Ii %]],I_Cuantitativo,I_Cualitativo,"",0)</f>
        <v>Mayor</v>
      </c>
      <c r="Q15" s="73">
        <f>_xlfn.XLOOKUP(R_Corrupción[[#This Row],[Impacto]],Consecuencias,I_Cuantitativo,,-1)</f>
        <v>0.8</v>
      </c>
      <c r="R15" s="71" t="str">
        <f>_xlfn.XLOOKUP(CONCATENATE(R_Corrupción[[#This Row],[Probabilidad inherente]],R_Corrupción[[#This Row],[Impacto inherente]]),Severidad,S_Posición,"",0)</f>
        <v>Alto</v>
      </c>
      <c r="S15" s="71">
        <f>_xlfn.XLOOKUP(CONCATENATE(R_Corrupción[[#This Row],[Probabilidad inherente]],R_Corrupción[[#This Row],[Impacto inherente]]),Severidad,S_Nivel,"",0)</f>
        <v>17</v>
      </c>
      <c r="T15" s="82">
        <f>IFERROR(R_Corrupción[[#This Row],[Pi %]]-R_Corrupción[[#This Row],[Pr %]],"")</f>
        <v>0.42359999999999998</v>
      </c>
      <c r="U15" s="82">
        <f>IFERROR(R_Corrupción[[#This Row],[Ii %]]-R_Corrupción[[#This Row],[Ir %]],"")</f>
        <v>0.19999999999999996</v>
      </c>
      <c r="V15" s="71" t="str">
        <f>_xlfn.XLOOKUP(R_Corrupción[[#This Row],[Pr %]],P_Cuantitativa,P_Cualitativa,"",1)</f>
        <v>Muy Baja</v>
      </c>
      <c r="W15" s="83">
        <f>_xlfn.XLOOKUP(R_Corrupción[[#This Row],[ID_R]],C_Corrupción[ID_C],C_Corrupción[Cambio P %],,0)</f>
        <v>0.1764</v>
      </c>
      <c r="X15" s="81" t="str">
        <f>_xlfn.XLOOKUP(R_Corrupción[[#This Row],[Ir %]],I_Cuantitativo,I_Cualitativo,"",1)</f>
        <v>Mayor</v>
      </c>
      <c r="Y15" s="83">
        <f>_xlfn.XLOOKUP(R_Corrupción[[#This Row],[ID_R]],C_Corrupción[ID_C],C_Corrupción[Cambio I %],,0)</f>
        <v>0.60000000000000009</v>
      </c>
      <c r="Z15" s="71" t="str">
        <f>_xlfn.XLOOKUP(CONCATENATE(R_Corrupción[[#This Row],[Probabilidad residual]],R_Corrupción[[#This Row],[Impacto residual]]),Severidad,S_Posición,"",0)</f>
        <v>Alto</v>
      </c>
      <c r="AA15" s="71">
        <f>_xlfn.XLOOKUP(CONCATENATE(R_Corrupción[[#This Row],[Probabilidad residual]],R_Corrupción[[#This Row],[Impacto residual]]),Severidad,S_Nivel,"",0)</f>
        <v>14</v>
      </c>
    </row>
    <row r="16" spans="1:52" ht="49.5" x14ac:dyDescent="0.25">
      <c r="A16" s="79">
        <f t="shared" si="0"/>
        <v>66</v>
      </c>
      <c r="B16" s="70" t="s">
        <v>138</v>
      </c>
      <c r="C16" s="71" t="s">
        <v>314</v>
      </c>
      <c r="D16" s="27" t="s">
        <v>155</v>
      </c>
      <c r="E16" s="27" t="s">
        <v>168</v>
      </c>
      <c r="F16" s="27" t="s">
        <v>315</v>
      </c>
      <c r="G16" s="27" t="s">
        <v>316</v>
      </c>
      <c r="H16" s="27" t="s">
        <v>317</v>
      </c>
      <c r="I16" s="27" t="s">
        <v>318</v>
      </c>
      <c r="J16" s="80" t="str">
        <f>IF(I16&lt;&gt;"",CONCATENATE(R_Corrupción[[#This Row],[Acción u omisión]]," ",R_Corrupción[[#This Row],[Beneficio privado]]," ",R_Corrupción[[#This Row],[Uso del poder]]," ",R_Corrupción[[#This Row],[Desviar gestión pública]]),"")</f>
        <v>Posibilidad de manifestar preferencia favoreciendo con la publicación de un contenido a un tercero sin aplicar criterios objetivos y meritocráticos</v>
      </c>
      <c r="K16" s="84">
        <v>10</v>
      </c>
      <c r="L16" s="88" t="s">
        <v>319</v>
      </c>
      <c r="M16" s="72">
        <f>_xlfn.XLOOKUP(R_Corrupción[[#This Row],[ID_R]],C_Corrupción[ID_C],C_Corrupción[Reputación],"",0)</f>
        <v>12</v>
      </c>
      <c r="N16" s="71" t="str">
        <f>_xlfn.XLOOKUP(R_Corrupción[[#This Row],[Pi %]],P_Cuantitativa,P_Cualitativa,"",0)</f>
        <v>Baja</v>
      </c>
      <c r="O16" s="73">
        <f>IF(R_Corrupción[[#This Row],[Frecuencia]]&lt;&gt;"",_xlfn.XLOOKUP(R_Corrupción[[#This Row],[Frecuencia]],Frecuencia,P_Cuantitativa,,-1),"")</f>
        <v>0.4</v>
      </c>
      <c r="P16" s="81" t="str">
        <f>_xlfn.XLOOKUP(R_Corrupción[[#This Row],[Ii %]],I_Cuantitativo,I_Cualitativo,"",0)</f>
        <v>Catastrófico</v>
      </c>
      <c r="Q16" s="73">
        <f>_xlfn.XLOOKUP(R_Corrupción[[#This Row],[Impacto]],Consecuencias,I_Cuantitativo,,-1)</f>
        <v>1</v>
      </c>
      <c r="R16" s="71" t="str">
        <f>_xlfn.XLOOKUP(CONCATENATE(R_Corrupción[[#This Row],[Probabilidad inherente]],R_Corrupción[[#This Row],[Impacto inherente]]),Severidad,S_Posición,"",0)</f>
        <v>Extremo</v>
      </c>
      <c r="S16" s="71">
        <f>_xlfn.XLOOKUP(CONCATENATE(R_Corrupción[[#This Row],[Probabilidad inherente]],R_Corrupción[[#This Row],[Impacto inherente]]),Severidad,S_Nivel,"",0)</f>
        <v>22</v>
      </c>
      <c r="T16" s="82">
        <f>IFERROR(R_Corrupción[[#This Row],[Pi %]]-R_Corrupción[[#This Row],[Pr %]],"")</f>
        <v>0.29920000000000002</v>
      </c>
      <c r="U16" s="82">
        <f>IFERROR(R_Corrupción[[#This Row],[Ii %]]-R_Corrupción[[#This Row],[Ir %]],"")</f>
        <v>0.25</v>
      </c>
      <c r="V16" s="71" t="str">
        <f>_xlfn.XLOOKUP(R_Corrupción[[#This Row],[Pr %]],P_Cuantitativa,P_Cualitativa,"",1)</f>
        <v>Muy Baja</v>
      </c>
      <c r="W16" s="83">
        <f>_xlfn.XLOOKUP(R_Corrupción[[#This Row],[ID_R]],C_Corrupción[ID_C],C_Corrupción[Cambio P %],,0)</f>
        <v>0.10079999999999999</v>
      </c>
      <c r="X16" s="81" t="str">
        <f>_xlfn.XLOOKUP(R_Corrupción[[#This Row],[Ir %]],I_Cuantitativo,I_Cualitativo,"",1)</f>
        <v>Mayor</v>
      </c>
      <c r="Y16" s="83">
        <f>_xlfn.XLOOKUP(R_Corrupción[[#This Row],[ID_R]],C_Corrupción[ID_C],C_Corrupción[Cambio I %],,0)</f>
        <v>0.75</v>
      </c>
      <c r="Z16" s="71" t="str">
        <f>_xlfn.XLOOKUP(CONCATENATE(R_Corrupción[[#This Row],[Probabilidad residual]],R_Corrupción[[#This Row],[Impacto residual]]),Severidad,S_Posición,"",0)</f>
        <v>Alto</v>
      </c>
      <c r="AA16" s="71">
        <f>_xlfn.XLOOKUP(CONCATENATE(R_Corrupción[[#This Row],[Probabilidad residual]],R_Corrupción[[#This Row],[Impacto residual]]),Severidad,S_Nivel,"",0)</f>
        <v>14</v>
      </c>
    </row>
    <row r="17" spans="1:52" ht="110.25" customHeight="1" x14ac:dyDescent="0.25">
      <c r="A17" s="79">
        <f t="shared" si="0"/>
        <v>72</v>
      </c>
      <c r="B17" s="70" t="s">
        <v>142</v>
      </c>
      <c r="C17" s="71" t="s">
        <v>320</v>
      </c>
      <c r="D17" s="27" t="s">
        <v>155</v>
      </c>
      <c r="E17" s="27" t="s">
        <v>168</v>
      </c>
      <c r="F17" s="80" t="s">
        <v>321</v>
      </c>
      <c r="G17" s="80" t="s">
        <v>322</v>
      </c>
      <c r="H17" s="80" t="s">
        <v>311</v>
      </c>
      <c r="I17" s="27" t="s">
        <v>323</v>
      </c>
      <c r="J17" s="27" t="str">
        <f>IF(I17&lt;&gt;"",CONCATENATE(R_Corrupción[[#This Row],[Acción u omisión]]," ",R_Corrupción[[#This Row],[Beneficio privado]]," ",R_Corrupción[[#This Row],[Uso del poder]]," ",R_Corrupción[[#This Row],[Desviar gestión pública]]),"")</f>
        <v>Posibilidad de sustraer los insumos, productos y bienes almacenados en la bodegas institucionales afectando la capacidad para cumplir los objetivos de la entidad a nombre propio o de un tercero con el fin de desviar el uso de los recursos para otros propósitos</v>
      </c>
      <c r="K17" s="84">
        <v>10000</v>
      </c>
      <c r="L17" s="85" t="s">
        <v>324</v>
      </c>
      <c r="M17" s="87">
        <f>_xlfn.XLOOKUP(R_Corrupción[[#This Row],[ID_R]],C_Corrupción[ID_C],C_Corrupción[Reputación],"",0)</f>
        <v>9</v>
      </c>
      <c r="N17" s="71" t="str">
        <f>_xlfn.XLOOKUP(R_Corrupción[[#This Row],[Pi %]],P_Cuantitativa,P_Cualitativa,"",0)</f>
        <v>Muy Alta</v>
      </c>
      <c r="O17" s="73">
        <f>IF(R_Corrupción[[#This Row],[Frecuencia]]&lt;&gt;"",_xlfn.XLOOKUP(R_Corrupción[[#This Row],[Frecuencia]],Frecuencia,P_Cuantitativa,,-1),"")</f>
        <v>1</v>
      </c>
      <c r="P17" s="81" t="str">
        <f>_xlfn.XLOOKUP(R_Corrupción[[#This Row],[Ii %]],I_Cuantitativo,I_Cualitativo,"",0)</f>
        <v>Mayor</v>
      </c>
      <c r="Q17" s="73">
        <f>_xlfn.XLOOKUP(R_Corrupción[[#This Row],[Impacto]],Consecuencias,I_Cuantitativo,,-1)</f>
        <v>0.8</v>
      </c>
      <c r="R17" s="71" t="str">
        <f>_xlfn.XLOOKUP(CONCATENATE(R_Corrupción[[#This Row],[Probabilidad inherente]],R_Corrupción[[#This Row],[Impacto inherente]]),Severidad,S_Posición,"",0)</f>
        <v>Alto</v>
      </c>
      <c r="S17" s="71">
        <f>_xlfn.XLOOKUP(CONCATENATE(R_Corrupción[[#This Row],[Probabilidad inherente]],R_Corrupción[[#This Row],[Impacto inherente]]),Severidad,S_Nivel,"",0)</f>
        <v>20</v>
      </c>
      <c r="T17" s="82">
        <f>IFERROR(R_Corrupción[[#This Row],[Pi %]]-R_Corrupción[[#This Row],[Pr %]],"")</f>
        <v>0.58000000000000007</v>
      </c>
      <c r="U17" s="82">
        <f>IFERROR(R_Corrupción[[#This Row],[Ii %]]-R_Corrupción[[#This Row],[Ir %]],"")</f>
        <v>0.19999999999999996</v>
      </c>
      <c r="V17" s="71" t="str">
        <f>_xlfn.XLOOKUP(R_Corrupción[[#This Row],[Pr %]],P_Cuantitativa,P_Cualitativa,"",1)</f>
        <v>Media</v>
      </c>
      <c r="W17" s="83">
        <f>_xlfn.XLOOKUP(R_Corrupción[[#This Row],[ID_R]],C_Corrupción[ID_C],C_Corrupción[Cambio P %],,0)</f>
        <v>0.42</v>
      </c>
      <c r="X17" s="81" t="str">
        <f>_xlfn.XLOOKUP(R_Corrupción[[#This Row],[Ir %]],I_Cuantitativo,I_Cualitativo,"",1)</f>
        <v>Mayor</v>
      </c>
      <c r="Y17" s="83">
        <f>_xlfn.XLOOKUP(R_Corrupción[[#This Row],[ID_R]],C_Corrupción[ID_C],C_Corrupción[Cambio I %],,0)</f>
        <v>0.60000000000000009</v>
      </c>
      <c r="Z17" s="71" t="str">
        <f>_xlfn.XLOOKUP(CONCATENATE(R_Corrupción[[#This Row],[Probabilidad residual]],R_Corrupción[[#This Row],[Impacto residual]]),Severidad,S_Posición,"",0)</f>
        <v>Alto</v>
      </c>
      <c r="AA17" s="71">
        <f>_xlfn.XLOOKUP(CONCATENATE(R_Corrupción[[#This Row],[Probabilidad residual]],R_Corrupción[[#This Row],[Impacto residual]]),Severidad,S_Nivel,"",0)</f>
        <v>17</v>
      </c>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row>
    <row r="18" spans="1:52" ht="66" x14ac:dyDescent="0.25">
      <c r="A18" s="79">
        <f t="shared" si="0"/>
        <v>78</v>
      </c>
      <c r="B18" s="70" t="s">
        <v>134</v>
      </c>
      <c r="C18" s="71" t="s">
        <v>325</v>
      </c>
      <c r="D18" s="27" t="s">
        <v>155</v>
      </c>
      <c r="E18" s="27" t="s">
        <v>168</v>
      </c>
      <c r="F18" s="27" t="s">
        <v>326</v>
      </c>
      <c r="G18" s="17" t="s">
        <v>327</v>
      </c>
      <c r="H18" s="27" t="s">
        <v>301</v>
      </c>
      <c r="I18" s="27" t="s">
        <v>328</v>
      </c>
      <c r="J18" s="80" t="str">
        <f>IF(I18&lt;&gt;"",CONCATENATE(R_Corrupción[[#This Row],[Acción u omisión]]," ",R_Corrupción[[#This Row],[Beneficio privado]]," ",R_Corrupción[[#This Row],[Uso del poder]]," ",R_Corrupción[[#This Row],[Desviar gestión pública]]),"")</f>
        <v>Posibilidad de plagio y violación de derechos de autor apropiando información, palabras o cualquier forma de expresión de otra persona a nombre propio con el fin de finalizar los trabajos de grado, sin darle el crédito correspondiente al autor</v>
      </c>
      <c r="K18" s="84">
        <v>50</v>
      </c>
      <c r="L18" s="88" t="s">
        <v>329</v>
      </c>
      <c r="M18" s="72">
        <f>_xlfn.XLOOKUP(R_Corrupción[[#This Row],[ID_R]],C_Corrupción[ID_C],C_Corrupción[Reputación],"",0)</f>
        <v>12</v>
      </c>
      <c r="N18" s="71" t="str">
        <f>_xlfn.XLOOKUP(R_Corrupción[[#This Row],[Pi %]],P_Cuantitativa,P_Cualitativa,"",0)</f>
        <v>Media</v>
      </c>
      <c r="O18" s="73">
        <f>IF(R_Corrupción[[#This Row],[Frecuencia]]&lt;&gt;"",_xlfn.XLOOKUP(R_Corrupción[[#This Row],[Frecuencia]],Frecuencia,P_Cuantitativa,,-1),"")</f>
        <v>0.6</v>
      </c>
      <c r="P18" s="81" t="str">
        <f>_xlfn.XLOOKUP(R_Corrupción[[#This Row],[Ii %]],I_Cuantitativo,I_Cualitativo,"",0)</f>
        <v>Catastrófico</v>
      </c>
      <c r="Q18" s="73">
        <f>_xlfn.XLOOKUP(R_Corrupción[[#This Row],[Impacto]],Consecuencias,I_Cuantitativo,,-1)</f>
        <v>1</v>
      </c>
      <c r="R18" s="71" t="str">
        <f>_xlfn.XLOOKUP(CONCATENATE(R_Corrupción[[#This Row],[Probabilidad inherente]],R_Corrupción[[#This Row],[Impacto inherente]]),Severidad,S_Posición,"",0)</f>
        <v>Extremo</v>
      </c>
      <c r="S18" s="71">
        <f>_xlfn.XLOOKUP(CONCATENATE(R_Corrupción[[#This Row],[Probabilidad inherente]],R_Corrupción[[#This Row],[Impacto inherente]]),Severidad,S_Nivel,"",0)</f>
        <v>23</v>
      </c>
      <c r="T18" s="82">
        <f>IFERROR(R_Corrupción[[#This Row],[Pi %]]-R_Corrupción[[#This Row],[Pr %]],"")</f>
        <v>0.18</v>
      </c>
      <c r="U18" s="82">
        <f>IFERROR(R_Corrupción[[#This Row],[Ii %]]-R_Corrupción[[#This Row],[Ir %]],"")</f>
        <v>0.25</v>
      </c>
      <c r="V18" s="71" t="str">
        <f>_xlfn.XLOOKUP(R_Corrupción[[#This Row],[Pr %]],P_Cuantitativa,P_Cualitativa,"",1)</f>
        <v>Media</v>
      </c>
      <c r="W18" s="83">
        <f>_xlfn.XLOOKUP(R_Corrupción[[#This Row],[ID_R]],C_Corrupción[ID_C],C_Corrupción[Cambio P %],,0)</f>
        <v>0.42</v>
      </c>
      <c r="X18" s="81" t="str">
        <f>_xlfn.XLOOKUP(R_Corrupción[[#This Row],[Ir %]],I_Cuantitativo,I_Cualitativo,"",1)</f>
        <v>Mayor</v>
      </c>
      <c r="Y18" s="83">
        <f>_xlfn.XLOOKUP(R_Corrupción[[#This Row],[ID_R]],C_Corrupción[ID_C],C_Corrupción[Cambio I %],,0)</f>
        <v>0.75</v>
      </c>
      <c r="Z18" s="71" t="str">
        <f>_xlfn.XLOOKUP(CONCATENATE(R_Corrupción[[#This Row],[Probabilidad residual]],R_Corrupción[[#This Row],[Impacto residual]]),Severidad,S_Posición,"",0)</f>
        <v>Alto</v>
      </c>
      <c r="AA18" s="71">
        <f>_xlfn.XLOOKUP(CONCATENATE(R_Corrupción[[#This Row],[Probabilidad residual]],R_Corrupción[[#This Row],[Impacto residual]]),Severidad,S_Nivel,"",0)</f>
        <v>17</v>
      </c>
    </row>
    <row r="19" spans="1:52" ht="115.5" x14ac:dyDescent="0.25">
      <c r="A19" s="79">
        <f t="shared" si="0"/>
        <v>84</v>
      </c>
      <c r="B19" s="70" t="s">
        <v>138</v>
      </c>
      <c r="C19" s="71" t="s">
        <v>330</v>
      </c>
      <c r="D19" s="27" t="s">
        <v>155</v>
      </c>
      <c r="E19" s="27" t="s">
        <v>168</v>
      </c>
      <c r="F19" s="27" t="s">
        <v>331</v>
      </c>
      <c r="G19" s="27" t="s">
        <v>332</v>
      </c>
      <c r="H19" s="27" t="s">
        <v>311</v>
      </c>
      <c r="I19" s="27" t="s">
        <v>333</v>
      </c>
      <c r="J19" s="27" t="str">
        <f>IF(I19&lt;&gt;"",CONCATENATE(R_Corrupción[[#This Row],[Acción u omisión]]," ",R_Corrupción[[#This Row],[Beneficio privado]]," ",R_Corrupción[[#This Row],[Uso del poder]]," ",R_Corrupción[[#This Row],[Desviar gestión pública]]),"")</f>
        <v>Posibilidad de extraer insumos, objetos, materiales bibliográficos, archivísticos, manuscritos históricos, documentos originales, fotografías, grabaciones, entre otros, sustrayendo los elementos con valor patrimonial a nombre propio o de un tercero con el fin de desviar el uso de los recursos para otros propósitos u obtener retribución económica</v>
      </c>
      <c r="K19" s="86">
        <v>243</v>
      </c>
      <c r="L19" s="85" t="s">
        <v>334</v>
      </c>
      <c r="M19" s="87">
        <f>_xlfn.XLOOKUP(R_Corrupción[[#This Row],[ID_R]],C_Corrupción[ID_C],C_Corrupción[Reputación],"",0)</f>
        <v>12</v>
      </c>
      <c r="N19" s="71" t="str">
        <f>_xlfn.XLOOKUP(R_Corrupción[[#This Row],[Pi %]],P_Cuantitativa,P_Cualitativa,"",0)</f>
        <v>Media</v>
      </c>
      <c r="O19" s="73">
        <f>IF(R_Corrupción[[#This Row],[Frecuencia]]&lt;&gt;"",_xlfn.XLOOKUP(R_Corrupción[[#This Row],[Frecuencia]],Frecuencia,P_Cuantitativa,,-1),"")</f>
        <v>0.6</v>
      </c>
      <c r="P19" s="81" t="str">
        <f>_xlfn.XLOOKUP(R_Corrupción[[#This Row],[Ii %]],I_Cuantitativo,I_Cualitativo,"",0)</f>
        <v>Catastrófico</v>
      </c>
      <c r="Q19" s="73">
        <f>_xlfn.XLOOKUP(R_Corrupción[[#This Row],[Impacto]],Consecuencias,I_Cuantitativo,,-1)</f>
        <v>1</v>
      </c>
      <c r="R19" s="71" t="str">
        <f>_xlfn.XLOOKUP(CONCATENATE(R_Corrupción[[#This Row],[Probabilidad inherente]],R_Corrupción[[#This Row],[Impacto inherente]]),Severidad,S_Posición,"",0)</f>
        <v>Extremo</v>
      </c>
      <c r="S19" s="71">
        <f>_xlfn.XLOOKUP(CONCATENATE(R_Corrupción[[#This Row],[Probabilidad inherente]],R_Corrupción[[#This Row],[Impacto inherente]]),Severidad,S_Nivel,"",0)</f>
        <v>23</v>
      </c>
      <c r="T19" s="82">
        <f>IFERROR(R_Corrupción[[#This Row],[Pi %]]-R_Corrupción[[#This Row],[Pr %]],"")</f>
        <v>0.24</v>
      </c>
      <c r="U19" s="82">
        <f>IFERROR(R_Corrupción[[#This Row],[Ii %]]-R_Corrupción[[#This Row],[Ir %]],"")</f>
        <v>0.25</v>
      </c>
      <c r="V19" s="71" t="str">
        <f>_xlfn.XLOOKUP(R_Corrupción[[#This Row],[Pr %]],P_Cuantitativa,P_Cualitativa,"",1)</f>
        <v>Baja</v>
      </c>
      <c r="W19" s="83">
        <f>_xlfn.XLOOKUP(R_Corrupción[[#This Row],[ID_R]],C_Corrupción[ID_C],C_Corrupción[Cambio P %],,0)</f>
        <v>0.36</v>
      </c>
      <c r="X19" s="81" t="str">
        <f>_xlfn.XLOOKUP(R_Corrupción[[#This Row],[Ir %]],I_Cuantitativo,I_Cualitativo,"",1)</f>
        <v>Mayor</v>
      </c>
      <c r="Y19" s="83">
        <f>_xlfn.XLOOKUP(R_Corrupción[[#This Row],[ID_R]],C_Corrupción[ID_C],C_Corrupción[Cambio I %],,0)</f>
        <v>0.75</v>
      </c>
      <c r="Z19" s="71" t="str">
        <f>_xlfn.XLOOKUP(CONCATENATE(R_Corrupción[[#This Row],[Probabilidad residual]],R_Corrupción[[#This Row],[Impacto residual]]),Severidad,S_Posición,"",0)</f>
        <v>Alto</v>
      </c>
      <c r="AA19" s="71">
        <f>_xlfn.XLOOKUP(CONCATENATE(R_Corrupción[[#This Row],[Probabilidad residual]],R_Corrupción[[#This Row],[Impacto residual]]),Severidad,S_Nivel,"",0)</f>
        <v>16</v>
      </c>
    </row>
    <row r="20" spans="1:52" ht="99" x14ac:dyDescent="0.25">
      <c r="A20" s="79">
        <f t="shared" si="0"/>
        <v>90</v>
      </c>
      <c r="B20" s="159" t="s">
        <v>141</v>
      </c>
      <c r="C20" s="71" t="s">
        <v>335</v>
      </c>
      <c r="D20" s="27" t="s">
        <v>155</v>
      </c>
      <c r="E20" s="27" t="s">
        <v>168</v>
      </c>
      <c r="F20" s="27" t="s">
        <v>336</v>
      </c>
      <c r="G20" s="27" t="s">
        <v>337</v>
      </c>
      <c r="H20" s="27" t="s">
        <v>264</v>
      </c>
      <c r="I20" s="80" t="s">
        <v>338</v>
      </c>
      <c r="J20" s="80" t="str">
        <f>IF(I20&lt;&gt;"",CONCATENATE(R_Corrupción[[#This Row],[Acción u omisión]]," ",R_Corrupción[[#This Row],[Beneficio privado]]," ",R_Corrupción[[#This Row],[Uso del poder]]," ",R_Corrupción[[#This Row],[Desviar gestión pública]]),"")</f>
        <v>Posibilidad de direccionar un proceso contractual utilizando información privilegiada para beneficio propio o de terceros con el fin de adjudicar las adquisiciones a proponentes específicos</v>
      </c>
      <c r="K20" s="84">
        <v>70</v>
      </c>
      <c r="L20" s="88" t="s">
        <v>339</v>
      </c>
      <c r="M20" s="87">
        <f>_xlfn.XLOOKUP(R_Corrupción[[#This Row],[ID_R]],C_Corrupción[ID_C],C_Corrupción[Reputación],"",0)</f>
        <v>11</v>
      </c>
      <c r="N20" s="71" t="str">
        <f>_xlfn.XLOOKUP(R_Corrupción[[#This Row],[Pi %]],P_Cuantitativa,P_Cualitativa,"",0)</f>
        <v>Media</v>
      </c>
      <c r="O20" s="73">
        <f>IF(R_Corrupción[[#This Row],[Frecuencia]]&lt;&gt;"",_xlfn.XLOOKUP(R_Corrupción[[#This Row],[Frecuencia]],Frecuencia,P_Cuantitativa,,-1),"")</f>
        <v>0.6</v>
      </c>
      <c r="P20" s="81" t="str">
        <f>_xlfn.XLOOKUP(R_Corrupción[[#This Row],[Ii %]],I_Cuantitativo,I_Cualitativo,"",0)</f>
        <v>Mayor</v>
      </c>
      <c r="Q20" s="73">
        <f>_xlfn.XLOOKUP(R_Corrupción[[#This Row],[Impacto]],Consecuencias,I_Cuantitativo,,-1)</f>
        <v>0.8</v>
      </c>
      <c r="R20" s="71" t="str">
        <f>_xlfn.XLOOKUP(CONCATENATE(R_Corrupción[[#This Row],[Probabilidad inherente]],R_Corrupción[[#This Row],[Impacto inherente]]),Severidad,S_Posición,"",0)</f>
        <v>Alto</v>
      </c>
      <c r="S20" s="71">
        <f>_xlfn.XLOOKUP(CONCATENATE(R_Corrupción[[#This Row],[Probabilidad inherente]],R_Corrupción[[#This Row],[Impacto inherente]]),Severidad,S_Nivel,"",0)</f>
        <v>17</v>
      </c>
      <c r="T20" s="82">
        <f>IFERROR(R_Corrupción[[#This Row],[Pi %]]-R_Corrupción[[#This Row],[Pr %]],"")</f>
        <v>0.38400000000000001</v>
      </c>
      <c r="U20" s="82">
        <f>IFERROR(R_Corrupción[[#This Row],[Ii %]]-R_Corrupción[[#This Row],[Ir %]],"")</f>
        <v>0.19999999999999996</v>
      </c>
      <c r="V20" s="71" t="str">
        <f>_xlfn.XLOOKUP(R_Corrupción[[#This Row],[Pr %]],P_Cuantitativa,P_Cualitativa,"",1)</f>
        <v>Baja</v>
      </c>
      <c r="W20" s="83">
        <f>_xlfn.XLOOKUP(R_Corrupción[[#This Row],[ID_R]],C_Corrupción[ID_C],C_Corrupción[Cambio P %],,0)</f>
        <v>0.216</v>
      </c>
      <c r="X20" s="81" t="str">
        <f>_xlfn.XLOOKUP(R_Corrupción[[#This Row],[Ir %]],I_Cuantitativo,I_Cualitativo,"",1)</f>
        <v>Mayor</v>
      </c>
      <c r="Y20" s="83">
        <f>_xlfn.XLOOKUP(R_Corrupción[[#This Row],[ID_R]],C_Corrupción[ID_C],C_Corrupción[Cambio I %],,0)</f>
        <v>0.60000000000000009</v>
      </c>
      <c r="Z20" s="71" t="str">
        <f>_xlfn.XLOOKUP(CONCATENATE(R_Corrupción[[#This Row],[Probabilidad residual]],R_Corrupción[[#This Row],[Impacto residual]]),Severidad,S_Posición,"",0)</f>
        <v>Alto</v>
      </c>
      <c r="AA20" s="71">
        <f>_xlfn.XLOOKUP(CONCATENATE(R_Corrupción[[#This Row],[Probabilidad residual]],R_Corrupción[[#This Row],[Impacto residual]]),Severidad,S_Nivel,"",0)</f>
        <v>16</v>
      </c>
    </row>
    <row r="21" spans="1:52" s="17" customFormat="1" ht="82.5" x14ac:dyDescent="0.25">
      <c r="A21" s="79">
        <f t="shared" si="0"/>
        <v>96</v>
      </c>
      <c r="B21" s="89" t="s">
        <v>138</v>
      </c>
      <c r="C21" s="90" t="s">
        <v>340</v>
      </c>
      <c r="D21" s="27" t="s">
        <v>155</v>
      </c>
      <c r="E21" s="27" t="s">
        <v>168</v>
      </c>
      <c r="F21" s="17" t="s">
        <v>326</v>
      </c>
      <c r="G21" s="17" t="s">
        <v>327</v>
      </c>
      <c r="H21" s="17" t="s">
        <v>301</v>
      </c>
      <c r="I21" s="17" t="s">
        <v>341</v>
      </c>
      <c r="J21" s="80" t="str">
        <f>IF(I21&lt;&gt;"",CONCATENATE(R_Corrupción[[#This Row],[Acción u omisión]]," ",R_Corrupción[[#This Row],[Beneficio privado]]," ",R_Corrupción[[#This Row],[Uso del poder]]," ",R_Corrupción[[#This Row],[Desviar gestión pública]]),"")</f>
        <v>Posibilidad de plagio y violación de derechos de autor apropiando información, palabras o cualquier forma de expresión de otra persona a nombre propio con el fin de publicar obras o productos de investigación sin dar el crédito correspondiente al autor o a la institución</v>
      </c>
      <c r="K21" s="162">
        <v>10</v>
      </c>
      <c r="L21" s="91" t="s">
        <v>319</v>
      </c>
      <c r="M21" s="72">
        <f>_xlfn.XLOOKUP(R_Corrupción[[#This Row],[ID_R]],C_Corrupción[ID_C],C_Corrupción[Reputación],"",0)</f>
        <v>12</v>
      </c>
      <c r="N21" s="71" t="str">
        <f>_xlfn.XLOOKUP(R_Corrupción[[#This Row],[Pi %]],P_Cuantitativa,P_Cualitativa,"",0)</f>
        <v>Baja</v>
      </c>
      <c r="O21" s="73">
        <f>IF(R_Corrupción[[#This Row],[Frecuencia]]&lt;&gt;"",_xlfn.XLOOKUP(R_Corrupción[[#This Row],[Frecuencia]],Frecuencia,P_Cuantitativa,,-1),"")</f>
        <v>0.4</v>
      </c>
      <c r="P21" s="81" t="str">
        <f>_xlfn.XLOOKUP(R_Corrupción[[#This Row],[Ii %]],I_Cuantitativo,I_Cualitativo,"",0)</f>
        <v>Catastrófico</v>
      </c>
      <c r="Q21" s="73">
        <f>_xlfn.XLOOKUP(R_Corrupción[[#This Row],[Impacto]],Consecuencias,I_Cuantitativo,,-1)</f>
        <v>1</v>
      </c>
      <c r="R21" s="71" t="str">
        <f>_xlfn.XLOOKUP(CONCATENATE(R_Corrupción[[#This Row],[Probabilidad inherente]],R_Corrupción[[#This Row],[Impacto inherente]]),Severidad,S_Posición,"",0)</f>
        <v>Extremo</v>
      </c>
      <c r="S21" s="71">
        <f>_xlfn.XLOOKUP(CONCATENATE(R_Corrupción[[#This Row],[Probabilidad inherente]],R_Corrupción[[#This Row],[Impacto inherente]]),Severidad,S_Nivel,"",0)</f>
        <v>22</v>
      </c>
      <c r="T21" s="92">
        <f>IFERROR(R_Corrupción[[#This Row],[Pi %]]-R_Corrupción[[#This Row],[Pr %]],"")</f>
        <v>0.29920000000000002</v>
      </c>
      <c r="U21" s="92">
        <f>IFERROR(R_Corrupción[[#This Row],[Ii %]]-R_Corrupción[[#This Row],[Ir %]],"")</f>
        <v>0.25</v>
      </c>
      <c r="V21" s="71" t="str">
        <f>_xlfn.XLOOKUP(R_Corrupción[[#This Row],[Pr %]],P_Cuantitativa,P_Cualitativa,"",1)</f>
        <v>Muy Baja</v>
      </c>
      <c r="W21" s="83">
        <f>_xlfn.XLOOKUP(R_Corrupción[[#This Row],[ID_R]],C_Corrupción[ID_C],C_Corrupción[Cambio P %],,0)</f>
        <v>0.10079999999999999</v>
      </c>
      <c r="X21" s="81" t="str">
        <f>_xlfn.XLOOKUP(R_Corrupción[[#This Row],[Ir %]],I_Cuantitativo,I_Cualitativo,"",1)</f>
        <v>Mayor</v>
      </c>
      <c r="Y21" s="83">
        <f>_xlfn.XLOOKUP(R_Corrupción[[#This Row],[ID_R]],C_Corrupción[ID_C],C_Corrupción[Cambio I %],,0)</f>
        <v>0.75</v>
      </c>
      <c r="Z21" s="71" t="str">
        <f>_xlfn.XLOOKUP(CONCATENATE(R_Corrupción[[#This Row],[Probabilidad residual]],R_Corrupción[[#This Row],[Impacto residual]]),Severidad,S_Posición,"",0)</f>
        <v>Alto</v>
      </c>
      <c r="AA21" s="71">
        <f>_xlfn.XLOOKUP(CONCATENATE(R_Corrupción[[#This Row],[Probabilidad residual]],R_Corrupción[[#This Row],[Impacto residual]]),Severidad,S_Nivel,"",0)</f>
        <v>14</v>
      </c>
    </row>
    <row r="24" spans="1:52" x14ac:dyDescent="0.25">
      <c r="I24" s="14"/>
    </row>
  </sheetData>
  <sheetProtection autoFilter="0"/>
  <protectedRanges>
    <protectedRange algorithmName="SHA-512" hashValue="2cwbXB1gfNhyd5Qi8ruJz6rElyNwycdmu2HsCFMx6fFUmYYmerO60AdODHu+YaertFqS74i3wVGprsFU/7ec5g==" saltValue="aGitTY3u+C7UOW2L9nQYFw==" spinCount="100000" sqref="F5:I5" name="Rango1"/>
    <protectedRange algorithmName="SHA-512" hashValue="2cwbXB1gfNhyd5Qi8ruJz6rElyNwycdmu2HsCFMx6fFUmYYmerO60AdODHu+YaertFqS74i3wVGprsFU/7ec5g==" saltValue="aGitTY3u+C7UOW2L9nQYFw==" spinCount="100000" sqref="F6:I6" name="Rango1_1"/>
    <protectedRange algorithmName="SHA-512" hashValue="2cwbXB1gfNhyd5Qi8ruJz6rElyNwycdmu2HsCFMx6fFUmYYmerO60AdODHu+YaertFqS74i3wVGprsFU/7ec5g==" saltValue="aGitTY3u+C7UOW2L9nQYFw==" spinCount="100000" sqref="K6:L6" name="Rango1_2"/>
    <protectedRange algorithmName="SHA-512" hashValue="2cwbXB1gfNhyd5Qi8ruJz6rElyNwycdmu2HsCFMx6fFUmYYmerO60AdODHu+YaertFqS74i3wVGprsFU/7ec5g==" saltValue="aGitTY3u+C7UOW2L9nQYFw==" spinCount="100000" sqref="M5" name="Rango1_3"/>
  </protectedRanges>
  <dataConsolidate/>
  <mergeCells count="19">
    <mergeCell ref="T4:U4"/>
    <mergeCell ref="V4:AA4"/>
    <mergeCell ref="T1:AA2"/>
    <mergeCell ref="T3:U3"/>
    <mergeCell ref="V3:AA3"/>
    <mergeCell ref="A2:B2"/>
    <mergeCell ref="A3:B3"/>
    <mergeCell ref="A4:B4"/>
    <mergeCell ref="A1:B1"/>
    <mergeCell ref="C1:I2"/>
    <mergeCell ref="J1:M2"/>
    <mergeCell ref="K4:M4"/>
    <mergeCell ref="C3:M3"/>
    <mergeCell ref="N3:S3"/>
    <mergeCell ref="C4:J4"/>
    <mergeCell ref="N4:O4"/>
    <mergeCell ref="P4:Q4"/>
    <mergeCell ref="R4:S4"/>
    <mergeCell ref="N1:S2"/>
  </mergeCells>
  <phoneticPr fontId="28" type="noConversion"/>
  <dataValidations xWindow="215" yWindow="417" count="33">
    <dataValidation allowBlank="1" showInputMessage="1" showErrorMessage="1" promptTitle="Proceso" prompt="Seleccione del listado desplegable el proceso correspondiente según el modelo de operación por procesos vigente" sqref="B5" xr:uid="{3D7FD733-5DA2-4F14-AEAC-41C775E2CB9A}"/>
    <dataValidation type="list" allowBlank="1" showInputMessage="1" showErrorMessage="1" sqref="B6:B21" xr:uid="{38AD499B-3546-4390-BEE6-BD7F49632E26}">
      <formula1>Procesos</formula1>
    </dataValidation>
    <dataValidation allowBlank="1" showInputMessage="1" showErrorMessage="1" promptTitle="Descriptor Factor" prompt="Son casos asociados al factor de riesgo, estos se encuentran definidos en la política de riesgos del ICC" sqref="E5" xr:uid="{CC3050D4-5F69-4842-8D27-B843A5E43D4E}"/>
    <dataValidation type="list" allowBlank="1" showInputMessage="1" showErrorMessage="1" sqref="D6:D21" xr:uid="{C8A6E635-2DBC-4385-BB06-F4B1F4E91DBA}">
      <formula1>Factor</formula1>
    </dataValidation>
    <dataValidation allowBlank="1" showInputMessage="1" showErrorMessage="1" promptTitle="Descripción del riesgo" prompt="Es una columna que se diligencia automáticamente, a partir de la información consignada en las cuatro columnas anteriores" sqref="J5" xr:uid="{FD3A142A-AB1C-44F1-B564-24AC537823AF}"/>
    <dataValidation allowBlank="1" showInputMessage="1" showErrorMessage="1" promptTitle="Factor riesgo" prompt="Son las fuentes generadoras de riesgo, se debe seleccionar un valor de la lista desplegable." sqref="D5" xr:uid="{8F97F099-F2E2-45C0-89F1-9506795509BC}"/>
    <dataValidation allowBlank="1" showInputMessage="1" showErrorMessage="1" promptTitle="Frecuencia" prompt="Se refiere a la cantidad de veces que se realiza la actividad que origina el riesgo en un año, por ejemplo: transferencias, registros, pagos, etc. Debe ser un valor númerico entero" sqref="K5" xr:uid="{47BFB191-B030-4930-9629-4EE4B9400BCF}"/>
    <dataValidation allowBlank="1" showInputMessage="1" showErrorMessage="1" promptTitle="Unidad de medida" prompt="Se refiere al entregable que resulta de realizar la actividad que origina el riesgo, por ejemplo: actas, consignaciones, facturas, etc." sqref="L5" xr:uid="{A10BA15F-A03A-4BE4-82C4-950816724407}"/>
    <dataValidation allowBlank="1" showInputMessage="1" showErrorMessage="1" promptTitle="Descriptor Factor" prompt="Se debe seleccionar una opción de la lista desplegable." sqref="E5" xr:uid="{C346894C-0CFD-4890-A91C-3B3746D1C7B4}"/>
    <dataValidation allowBlank="1" showInputMessage="1" showErrorMessage="1" promptTitle="Código Riesgo" prompt="Es un valor alfanúmerico que asigna el administrador del SIG para el control de cambios de los riesgos, debe ser único." sqref="C5" xr:uid="{D7CAC9F9-DA55-4778-88B1-9C88AEB18CF0}"/>
    <dataValidation allowBlank="1" showInputMessage="1" showErrorMessage="1" promptTitle="Factor riesgo" prompt="Es un valor alfanúmerico que asigna el administrador del SIG para el control de cambios de los riesgos, debe ser único." sqref="D5" xr:uid="{BD74D579-1A31-4D33-873D-F0D5070E72D4}"/>
    <dataValidation allowBlank="1" showInputMessage="1" showErrorMessage="1" promptTitle="Consecutivo de riesgo" prompt="Es un consecutivo de seis en seis, que permite alinear los riesgos con los controles" sqref="A5" xr:uid="{8BB5D57B-5F7C-41AD-91BA-10D3D9E0E416}"/>
    <dataValidation allowBlank="1" showInputMessage="1" showErrorMessage="1" promptTitle="Probabilidad inherente" prompt="Es el nivel de probabilidad de que se materialice el riesgo sin tener en cuenta los controles existentes" sqref="N5" xr:uid="{7AC7534A-82C9-4357-8D9B-516546E85361}"/>
    <dataValidation allowBlank="1" showInputMessage="1" showErrorMessage="1" promptTitle="Pi %" prompt="Se refiere al valor númerico correspondiente a la probabilidad de la celda precedente" sqref="O5" xr:uid="{4B6FF70F-6A3A-4117-9D67-D35E4E97A88B}"/>
    <dataValidation allowBlank="1" showInputMessage="1" showErrorMessage="1" promptTitle="Impacto inherente" prompt="Es la medida del impacto de que se materialice el riesgo sin tener en cuenta los controles existentes" sqref="P5" xr:uid="{63221DFE-9E5A-4140-8AAC-912CA33C63CF}"/>
    <dataValidation allowBlank="1" showInputMessage="1" showErrorMessage="1" promptTitle="Ii %" prompt="Se refiere al valor númerico correspondiente al impacto de la celda precedente" sqref="Q5:R5" xr:uid="{C093B29D-03C0-4506-A423-7327A98A2593}"/>
    <dataValidation allowBlank="1" showInputMessage="1" showErrorMessage="1" promptTitle="Severidad inherente" prompt="Se refiere a la cualifiación que resulta de combinar la probabilidad con el impacto sin tener en cuenta los controles existentes" sqref="S5" xr:uid="{045C5D7F-526E-4290-9A01-2C091266FDBB}"/>
    <dataValidation allowBlank="1" showInputMessage="1" showErrorMessage="1" promptTitle="Posición de severidad inherente" prompt="Se refiere a la localización del riesgo en la matriz de calor sin tener en cuenta los controles existentes" sqref="R5" xr:uid="{6B51E562-13DE-446D-9113-52CEFA4172F3}"/>
    <dataValidation allowBlank="1" showInputMessage="1" showErrorMessage="1" promptTitle="Eficiencia en probabilidad" prompt="Determina el grado en que los controles preventivos o detectivos permiten reducir la probabilidad de ocurrencia del riesgo" sqref="T5" xr:uid="{03EDE0BB-B8AD-4ECC-A461-F8CD46E4060C}"/>
    <dataValidation allowBlank="1" showInputMessage="1" showErrorMessage="1" promptTitle="Eficiencia en impacto" prompt="Determina el grado en que los controles correctivos permiten reducir el impacto de un riesgo una vez se haya materializado" sqref="U5" xr:uid="{A1C63264-B811-4304-AB10-3F92A44085FD}"/>
    <dataValidation allowBlank="1" showInputMessage="1" showErrorMessage="1" promptTitle="Probabilidad residual" prompt="Es el nivel de probabilidad de que se materialice un riesgo después de la implementación de controles." sqref="V5" xr:uid="{178C083A-830D-4D6B-B0CA-8F7F62731D92}"/>
    <dataValidation allowBlank="1" showInputMessage="1" showErrorMessage="1" promptTitle="Impacto residual" prompt="Es el nivel de impacto que queda después de aplicar los controles existentes ante la materialización del riesgo" sqref="X5" xr:uid="{2935F22F-6554-4C4D-8CC9-378004640535}"/>
    <dataValidation allowBlank="1" showInputMessage="1" showErrorMessage="1" promptTitle="Ir %" prompt="Se refiere al valor númerico correspondiente al impacto de la celda precedente" sqref="Y5" xr:uid="{5B492144-7BAB-4467-AB1C-C0457243C611}"/>
    <dataValidation allowBlank="1" showInputMessage="1" showErrorMessage="1" promptTitle="Pr %" prompt="Se refiere al valor númerico correspondiente a la probabilidad de la celda precedente" sqref="W5" xr:uid="{42A3CFC1-DE7B-49E5-A511-EB5E81B4CEEA}"/>
    <dataValidation allowBlank="1" showInputMessage="1" showErrorMessage="1" promptTitle="Severidad residual" prompt="Se refiere a la cualificación que resulta de combinar la probabilidad con el impacto después de implementar los controles" sqref="Z5" xr:uid="{E61987DD-C0E5-472F-B26B-CF965948BABA}"/>
    <dataValidation allowBlank="1" showInputMessage="1" showErrorMessage="1" promptTitle="Posición de severidad residual" prompt="Se refiere a la localización del riesgo en la matriz de calor, teniendo en cuenta el efecto de los controles existentes" sqref="Z5" xr:uid="{712AB1D8-BD77-4E29-96CC-8EFA2B663C38}"/>
    <dataValidation type="list" allowBlank="1" showInputMessage="1" showErrorMessage="1" sqref="E6:E21" xr:uid="{E13895A8-BFA4-488D-B0BF-824869A9509E}">
      <formula1>INDIRECT(D6)</formula1>
    </dataValidation>
    <dataValidation allowBlank="1" showInputMessage="1" showErrorMessage="1" promptTitle="Impacto" prompt="Es resultado de contar las cvonsecuencias que se derivan de la materialización del riesgo identificado" sqref="M5" xr:uid="{DF16D5E8-5A13-4E79-9CDF-8F2BAF7B5630}"/>
    <dataValidation allowBlank="1" showInputMessage="1" showErrorMessage="1" promptTitle="Desviar la gestión pública" prompt="Corresponde a la descripción del aspecto público afectado por el uso del poder" sqref="I5" xr:uid="{25F9D6BF-EF64-40BF-A23A-71C3AA3269B7}"/>
    <dataValidation allowBlank="1" showInputMessage="1" showErrorMessage="1" promptTitle="Uso del poder" prompt="Refiere a quién(es) se obtienen el beneficio privado" sqref="H5" xr:uid="{0CD90EC5-4AE3-437A-AF66-D4886E674B4D}"/>
    <dataValidation allowBlank="1" showInputMessage="1" showErrorMessage="1" promptTitle="Beneficio privado" prompt="Describe el hecho irregular de la acción u omisión" sqref="G5" xr:uid="{EE2B6104-0D85-43CD-88DA-9AF4A7726EA1}"/>
    <dataValidation allowBlank="1" showInputMessage="1" showErrorMessage="1" promptTitle="Acción u omisión" prompt="Inicia con la frase &quot;Posibilidad de&quot;, luego se le agrega un verbo de acción u omisión seguido del complemento" sqref="F5" xr:uid="{96E37F75-9092-4C27-AEE3-5144CB0B80BE}"/>
    <dataValidation allowBlank="1" showInputMessage="1" showErrorMessage="1" promptTitle="Posición severidad r" prompt="Se refiere a la localización del riesgo en la matriz de calor, teniendo en cuenta el efecto de los controles existentes" sqref="AA5" xr:uid="{A0BA7F31-B3E4-4B04-9303-F42B21BB49F5}"/>
  </dataValidations>
  <pageMargins left="0.7" right="0.7" top="0.75" bottom="0.75" header="0.3" footer="0.3"/>
  <pageSetup orientation="portrait" r:id="rId1"/>
  <ignoredErrors>
    <ignoredError sqref="A6" calculatedColumn="1"/>
  </ignoredError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7" operator="equal" id="{53802112-4368-4C38-B215-0BEAD5F112F9}">
            <xm:f>Condiciones_RC!$F$9</xm:f>
            <x14:dxf>
              <fill>
                <patternFill>
                  <bgColor rgb="FFFFCCCC"/>
                </patternFill>
              </fill>
            </x14:dxf>
          </x14:cfRule>
          <x14:cfRule type="cellIs" priority="8" operator="equal" id="{718047DB-DD0F-456E-898B-C2FC5010CFF6}">
            <xm:f>Condiciones_RC!$F$8</xm:f>
            <x14:dxf>
              <fill>
                <patternFill>
                  <bgColor theme="5" tint="0.59996337778862885"/>
                </patternFill>
              </fill>
            </x14:dxf>
          </x14:cfRule>
          <x14:cfRule type="cellIs" priority="9" operator="equal" id="{671598B9-B17A-4AB4-A568-BF9185E9B389}">
            <xm:f>Condiciones_RC!$F$7</xm:f>
            <x14:dxf>
              <fill>
                <patternFill>
                  <bgColor rgb="FFFFFFCC"/>
                </patternFill>
              </fill>
            </x14:dxf>
          </x14:cfRule>
          <x14:cfRule type="cellIs" priority="10" operator="equal" id="{0C0C2490-39CA-4EE2-9806-B8E3E1D6C00F}">
            <xm:f>Condiciones_RC!$F$6</xm:f>
            <x14:dxf>
              <fill>
                <patternFill>
                  <bgColor theme="9" tint="0.79998168889431442"/>
                </patternFill>
              </fill>
            </x14:dxf>
          </x14:cfRule>
          <x14:cfRule type="cellIs" priority="11" operator="equal" id="{852475F2-3BA4-43A0-B44A-3EABE62D92E4}">
            <xm:f>Condiciones_RC!$F$5</xm:f>
            <x14:dxf>
              <fill>
                <patternFill>
                  <bgColor theme="7" tint="0.79998168889431442"/>
                </patternFill>
              </fill>
            </x14:dxf>
          </x14:cfRule>
          <xm:sqref>N6:N21 V6:V21</xm:sqref>
        </x14:conditionalFormatting>
        <x14:conditionalFormatting xmlns:xm="http://schemas.microsoft.com/office/excel/2006/main">
          <x14:cfRule type="cellIs" priority="4" operator="equal" id="{49FE0167-E6F6-47B4-AE27-A6E1CEA4982F}">
            <xm:f>Condiciones_RC!$F$16</xm:f>
            <x14:dxf>
              <fill>
                <patternFill>
                  <bgColor rgb="FFFFCCCC"/>
                </patternFill>
              </fill>
            </x14:dxf>
          </x14:cfRule>
          <x14:cfRule type="cellIs" priority="5" operator="equal" id="{0E328DBE-CC72-4873-902B-85DA714BF294}">
            <xm:f>Condiciones_RC!$F$15</xm:f>
            <x14:dxf>
              <fill>
                <patternFill>
                  <bgColor theme="5" tint="0.59996337778862885"/>
                </patternFill>
              </fill>
            </x14:dxf>
          </x14:cfRule>
          <x14:cfRule type="cellIs" priority="6" operator="equal" id="{F532E35F-3D60-49BA-BBD5-9249DD4BDC47}">
            <xm:f>Condiciones_RC!$F$14</xm:f>
            <x14:dxf>
              <fill>
                <patternFill>
                  <bgColor rgb="FFFFFFCC"/>
                </patternFill>
              </fill>
            </x14:dxf>
          </x14:cfRule>
          <xm:sqref>P6:P21 X6:X21</xm:sqref>
        </x14:conditionalFormatting>
        <x14:conditionalFormatting xmlns:xm="http://schemas.microsoft.com/office/excel/2006/main">
          <x14:cfRule type="cellIs" priority="1" operator="equal" id="{51F37169-14D0-4E97-ADF3-F180D7D1391E}">
            <xm:f>Condiciones_RC!$D$64</xm:f>
            <x14:dxf>
              <fill>
                <patternFill>
                  <bgColor rgb="FFFFCCCC"/>
                </patternFill>
              </fill>
            </x14:dxf>
          </x14:cfRule>
          <x14:cfRule type="cellIs" priority="2" operator="equal" id="{A0888C9D-BEE5-4152-BD0C-ABABE57EC86D}">
            <xm:f>Condiciones_RC!$D$63</xm:f>
            <x14:dxf>
              <fill>
                <patternFill>
                  <bgColor theme="5" tint="0.59996337778862885"/>
                </patternFill>
              </fill>
            </x14:dxf>
          </x14:cfRule>
          <x14:cfRule type="cellIs" priority="3" operator="equal" id="{02FB78F6-D88B-4FAF-BCB5-533B26B850BF}">
            <xm:f>Condiciones_RC!$D$62</xm:f>
            <x14:dxf>
              <fill>
                <patternFill>
                  <bgColor rgb="FFFFFFCC"/>
                </patternFill>
              </fill>
            </x14:dxf>
          </x14:cfRule>
          <xm:sqref>R6:R21 Z6:Z21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C6D5-C033-4926-A8FF-495BF448C805}">
  <sheetPr>
    <tabColor rgb="FF00B0F0"/>
  </sheetPr>
  <dimension ref="A1:BA102"/>
  <sheetViews>
    <sheetView zoomScale="110" zoomScaleNormal="110" workbookViewId="0">
      <pane xSplit="3" ySplit="5" topLeftCell="D6" activePane="bottomRight" state="frozen"/>
      <selection pane="topRight" activeCell="D1" sqref="D1"/>
      <selection pane="bottomLeft" activeCell="A6" sqref="A6"/>
      <selection pane="bottomRight" activeCell="A6" sqref="A6"/>
    </sheetView>
  </sheetViews>
  <sheetFormatPr baseColWidth="10" defaultColWidth="11.42578125" defaultRowHeight="16.5" x14ac:dyDescent="0.25"/>
  <cols>
    <col min="1" max="1" width="6.5703125" style="15" customWidth="1"/>
    <col min="2" max="2" width="15.42578125" style="15" customWidth="1"/>
    <col min="3" max="3" width="11.42578125" style="15" customWidth="1"/>
    <col min="4" max="7" width="16.28515625" style="15" customWidth="1"/>
    <col min="8" max="8" width="29.42578125" style="15" customWidth="1"/>
    <col min="9" max="9" width="11.7109375" style="15" customWidth="1"/>
    <col min="10" max="10" width="20.7109375" style="14" customWidth="1"/>
    <col min="11" max="11" width="36.42578125" style="14" customWidth="1"/>
    <col min="12" max="12" width="50" style="14" customWidth="1"/>
    <col min="13" max="13" width="14.42578125" style="14" customWidth="1"/>
    <col min="14" max="14" width="15.140625" style="14" customWidth="1"/>
    <col min="15" max="16" width="16.5703125" customWidth="1"/>
    <col min="17" max="17" width="16.5703125" style="14" customWidth="1"/>
    <col min="19" max="19" width="33" customWidth="1"/>
    <col min="20" max="20" width="18.28515625" customWidth="1"/>
    <col min="23" max="24" width="11.42578125" style="14" customWidth="1"/>
    <col min="25" max="25" width="10.7109375" style="14" customWidth="1"/>
    <col min="26" max="26" width="13.140625" style="14" customWidth="1"/>
    <col min="27" max="28" width="13.42578125" style="14" customWidth="1"/>
    <col min="29" max="29" width="21.42578125" style="14" customWidth="1"/>
    <col min="30" max="30" width="14.5703125" style="14" customWidth="1"/>
    <col min="31" max="31" width="17.85546875" style="14" customWidth="1"/>
    <col min="32" max="33" width="12.42578125" style="14" customWidth="1"/>
    <col min="34" max="34" width="21" style="14" customWidth="1"/>
    <col min="35" max="35" width="26" style="14" customWidth="1"/>
    <col min="36" max="36" width="28" style="14" customWidth="1"/>
    <col min="37" max="37" width="34" style="14" customWidth="1"/>
    <col min="38" max="38" width="28" style="14" customWidth="1"/>
    <col min="39" max="39" width="42.42578125" style="14" customWidth="1"/>
    <col min="40" max="40" width="17.28515625" style="14" customWidth="1"/>
    <col min="41" max="41" width="16.42578125" style="14" customWidth="1"/>
    <col min="42" max="42" width="21.42578125" style="14" customWidth="1"/>
    <col min="43" max="43" width="21.7109375" style="14" customWidth="1"/>
    <col min="44" max="44" width="19.42578125" style="14" customWidth="1"/>
    <col min="45" max="45" width="35" style="14" customWidth="1"/>
    <col min="46" max="16384" width="11.42578125" style="14"/>
  </cols>
  <sheetData>
    <row r="1" spans="1:53" ht="18" thickTop="1" thickBot="1" x14ac:dyDescent="0.3">
      <c r="A1" s="203" t="s">
        <v>221</v>
      </c>
      <c r="B1" s="203"/>
      <c r="C1" s="215" t="s">
        <v>342</v>
      </c>
      <c r="D1" s="193"/>
      <c r="E1" s="193"/>
      <c r="F1" s="193"/>
      <c r="G1" s="193"/>
      <c r="H1" s="193"/>
      <c r="I1" s="193" t="s">
        <v>342</v>
      </c>
      <c r="J1" s="193"/>
      <c r="K1" s="193"/>
      <c r="L1" s="193"/>
      <c r="M1" s="193" t="s">
        <v>342</v>
      </c>
      <c r="N1" s="193"/>
      <c r="O1" s="193"/>
      <c r="P1" s="193"/>
      <c r="Q1" s="193"/>
      <c r="R1" s="193" t="s">
        <v>342</v>
      </c>
      <c r="S1" s="193"/>
      <c r="T1" s="193"/>
      <c r="U1" s="193"/>
      <c r="V1" s="193"/>
      <c r="W1" s="193" t="s">
        <v>342</v>
      </c>
      <c r="X1" s="193"/>
      <c r="Y1" s="193"/>
      <c r="Z1" s="193"/>
    </row>
    <row r="2" spans="1:53" ht="18" thickTop="1" thickBot="1" x14ac:dyDescent="0.3">
      <c r="A2" s="200" t="s">
        <v>28</v>
      </c>
      <c r="B2" s="200"/>
      <c r="C2" s="216"/>
      <c r="D2" s="194"/>
      <c r="E2" s="194"/>
      <c r="F2" s="194"/>
      <c r="G2" s="194"/>
      <c r="H2" s="194"/>
      <c r="I2" s="194"/>
      <c r="J2" s="194"/>
      <c r="K2" s="194"/>
      <c r="L2" s="194"/>
      <c r="M2" s="194"/>
      <c r="N2" s="194"/>
      <c r="O2" s="194"/>
      <c r="P2" s="194"/>
      <c r="Q2" s="194"/>
      <c r="R2" s="194"/>
      <c r="S2" s="194"/>
      <c r="T2" s="194"/>
      <c r="U2" s="194"/>
      <c r="V2" s="194"/>
      <c r="W2" s="194"/>
      <c r="X2" s="194"/>
      <c r="Y2" s="194"/>
      <c r="Z2" s="194"/>
      <c r="AM2" s="16"/>
      <c r="AN2" s="16"/>
      <c r="AO2" s="16"/>
      <c r="AP2" s="16"/>
      <c r="AQ2" s="16"/>
      <c r="AR2" s="16"/>
      <c r="AS2" s="16"/>
      <c r="AT2" s="16"/>
      <c r="AU2" s="16"/>
      <c r="AV2" s="16"/>
      <c r="AW2" s="16"/>
      <c r="AX2" s="16"/>
      <c r="AY2" s="16"/>
      <c r="AZ2" s="16"/>
      <c r="BA2" s="16"/>
    </row>
    <row r="3" spans="1:53" ht="18" thickTop="1" thickBot="1" x14ac:dyDescent="0.3">
      <c r="A3" s="201" t="s">
        <v>223</v>
      </c>
      <c r="B3" s="201"/>
      <c r="C3" s="217" t="s">
        <v>224</v>
      </c>
      <c r="D3" s="217"/>
      <c r="E3" s="217"/>
      <c r="F3" s="217"/>
      <c r="G3" s="217"/>
      <c r="H3" s="217"/>
      <c r="I3" s="219" t="s">
        <v>226</v>
      </c>
      <c r="J3" s="220"/>
      <c r="K3" s="220"/>
      <c r="L3" s="220"/>
      <c r="M3" s="220"/>
      <c r="N3" s="220"/>
      <c r="O3" s="220"/>
      <c r="P3" s="220"/>
      <c r="Q3" s="221"/>
      <c r="R3" s="211" t="s">
        <v>343</v>
      </c>
      <c r="S3" s="211"/>
      <c r="T3" s="211"/>
      <c r="U3" s="211"/>
      <c r="V3" s="211"/>
      <c r="W3" s="212" t="s">
        <v>227</v>
      </c>
      <c r="X3" s="213"/>
      <c r="Y3" s="213"/>
      <c r="Z3" s="214"/>
      <c r="AM3" s="16"/>
      <c r="AN3" s="16"/>
      <c r="AO3" s="16"/>
      <c r="AP3" s="16"/>
      <c r="AQ3" s="16"/>
      <c r="AR3" s="16"/>
      <c r="AS3" s="16"/>
      <c r="AT3" s="16"/>
      <c r="AU3" s="16"/>
      <c r="AV3" s="16"/>
      <c r="AW3" s="16"/>
      <c r="AX3" s="16"/>
      <c r="AY3" s="16"/>
      <c r="AZ3" s="16"/>
      <c r="BA3" s="16"/>
    </row>
    <row r="4" spans="1:53" ht="18" thickTop="1" thickBot="1" x14ac:dyDescent="0.3">
      <c r="A4" s="202" t="s">
        <v>228</v>
      </c>
      <c r="B4" s="202"/>
      <c r="C4" s="218" t="s">
        <v>344</v>
      </c>
      <c r="D4" s="218"/>
      <c r="E4" s="218"/>
      <c r="F4" s="218"/>
      <c r="G4" s="218"/>
      <c r="H4" s="95" t="s">
        <v>345</v>
      </c>
      <c r="I4" s="209" t="s">
        <v>346</v>
      </c>
      <c r="J4" s="209"/>
      <c r="K4" s="209"/>
      <c r="L4" s="209"/>
      <c r="M4" s="209" t="s">
        <v>347</v>
      </c>
      <c r="N4" s="209"/>
      <c r="O4" s="209" t="s">
        <v>348</v>
      </c>
      <c r="P4" s="209"/>
      <c r="Q4" s="209"/>
      <c r="R4" s="210" t="s">
        <v>349</v>
      </c>
      <c r="S4" s="210"/>
      <c r="T4" s="210"/>
      <c r="U4" s="210"/>
      <c r="V4" s="210"/>
      <c r="W4" s="197" t="s">
        <v>350</v>
      </c>
      <c r="X4" s="198"/>
      <c r="Y4" s="198"/>
      <c r="Z4" s="199"/>
      <c r="AM4" s="16"/>
      <c r="AN4" s="16"/>
      <c r="AO4" s="16"/>
      <c r="AP4" s="16"/>
      <c r="AQ4" s="16"/>
      <c r="AR4" s="16"/>
      <c r="AS4" s="16"/>
      <c r="AT4" s="16"/>
      <c r="AU4" s="16"/>
      <c r="AV4" s="16"/>
      <c r="AW4" s="16"/>
      <c r="AX4" s="16"/>
      <c r="AY4" s="16"/>
      <c r="AZ4" s="16"/>
      <c r="BA4" s="16"/>
    </row>
    <row r="5" spans="1:53" ht="33" x14ac:dyDescent="0.25">
      <c r="A5" s="74" t="s">
        <v>351</v>
      </c>
      <c r="B5" s="74" t="s">
        <v>237</v>
      </c>
      <c r="C5" s="74" t="s">
        <v>352</v>
      </c>
      <c r="D5" s="75" t="s">
        <v>45</v>
      </c>
      <c r="E5" s="75" t="s">
        <v>46</v>
      </c>
      <c r="F5" s="75" t="s">
        <v>47</v>
      </c>
      <c r="G5" s="75" t="s">
        <v>353</v>
      </c>
      <c r="H5" s="68" t="s">
        <v>354</v>
      </c>
      <c r="I5" s="74" t="s">
        <v>355</v>
      </c>
      <c r="J5" s="68" t="s">
        <v>356</v>
      </c>
      <c r="K5" s="68" t="s">
        <v>357</v>
      </c>
      <c r="L5" s="68" t="s">
        <v>358</v>
      </c>
      <c r="M5" s="75" t="s">
        <v>16</v>
      </c>
      <c r="N5" s="75" t="s">
        <v>27</v>
      </c>
      <c r="O5" s="69" t="s">
        <v>104</v>
      </c>
      <c r="P5" s="76" t="s">
        <v>110</v>
      </c>
      <c r="Q5" s="69" t="s">
        <v>116</v>
      </c>
      <c r="R5" s="75" t="s">
        <v>200</v>
      </c>
      <c r="S5" s="68" t="s">
        <v>359</v>
      </c>
      <c r="T5" s="68" t="s">
        <v>360</v>
      </c>
      <c r="U5" s="68" t="s">
        <v>361</v>
      </c>
      <c r="V5" s="68" t="s">
        <v>362</v>
      </c>
      <c r="W5" s="74" t="s">
        <v>13</v>
      </c>
      <c r="X5" s="74" t="s">
        <v>14</v>
      </c>
      <c r="Y5" s="74" t="s">
        <v>363</v>
      </c>
      <c r="Z5" s="74" t="s">
        <v>364</v>
      </c>
      <c r="AM5" s="16"/>
      <c r="AN5" s="16"/>
      <c r="AO5" s="16"/>
      <c r="AP5" s="16"/>
      <c r="AQ5" s="16"/>
      <c r="AR5" s="16"/>
      <c r="AS5" s="16"/>
      <c r="AT5" s="16"/>
      <c r="AU5" s="16"/>
      <c r="AV5" s="16"/>
      <c r="AW5" s="16"/>
      <c r="AX5" s="16"/>
      <c r="AY5" s="16"/>
      <c r="AZ5" s="16"/>
      <c r="BA5" s="16"/>
    </row>
    <row r="6" spans="1:53" ht="99" x14ac:dyDescent="0.25">
      <c r="A6" s="163">
        <v>1</v>
      </c>
      <c r="B6" s="159" t="str" cm="1">
        <f t="array" ref="B6">INDEX(R_Corrupción[Proceso],ROW(C_Corrupción[[#This Row],[Código riesgo]])/6)</f>
        <v>Adquisiciones</v>
      </c>
      <c r="C6" s="164" t="str" cm="1">
        <f t="array" ref="C6">INDEX(R_Corrupción[Código riesgo],ROW(C_Corrupción[[#This Row],[Proceso]])/6)</f>
        <v>ADQ-C1</v>
      </c>
      <c r="D6" s="165" t="s">
        <v>50</v>
      </c>
      <c r="E6" s="165" t="s">
        <v>51</v>
      </c>
      <c r="F6" s="165" t="s">
        <v>365</v>
      </c>
      <c r="G6" s="165" t="s">
        <v>53</v>
      </c>
      <c r="H6" s="80" t="s">
        <v>366</v>
      </c>
      <c r="I6" s="87" t="str">
        <f>IF(C_Corrupción[[#This Row],[Responsable de ejecutar]]&lt;&gt;"",CONCATENATE(C_Corrupción[[#This Row],[Código riesgo]],"-",IF(C_Corrupción[[#This Row],[Código riesgo]]&lt;&gt;C5,1,RIGHT(I5,1)+1)),"")</f>
        <v>ADQ-C1-1</v>
      </c>
      <c r="J6" s="157" t="s">
        <v>367</v>
      </c>
      <c r="K6" s="157" t="s">
        <v>368</v>
      </c>
      <c r="L6" s="157" t="s">
        <v>369</v>
      </c>
      <c r="M6" s="87" t="s">
        <v>17</v>
      </c>
      <c r="N6" s="87" t="s">
        <v>30</v>
      </c>
      <c r="O6" s="87" t="s">
        <v>109</v>
      </c>
      <c r="P6" s="87" t="s">
        <v>135</v>
      </c>
      <c r="Q6" s="87" t="s">
        <v>370</v>
      </c>
      <c r="R6" s="87" t="s">
        <v>212</v>
      </c>
      <c r="S6" s="157" t="s">
        <v>696</v>
      </c>
      <c r="T6" s="157" t="s">
        <v>371</v>
      </c>
      <c r="U6" s="172">
        <v>45536</v>
      </c>
      <c r="V6" s="172">
        <v>45657</v>
      </c>
      <c r="W6" s="166">
        <f>_xlfn.XLOOKUP(CONCATENATE(C_Corrupción[[#This Row],[Momento de ejecución]],C_Corrupción[[#This Row],[Forma de ejecución]]),C_Atributos,C_Peso,"",0)</f>
        <v>0.4</v>
      </c>
      <c r="X6" s="87" t="str">
        <f>IFERROR(_xlfn.XLOOKUP(C_Corrupción[[#This Row],[Momento de ejecución]],C_Momento,C_Efecto,,0),"")</f>
        <v>Probabilidad</v>
      </c>
      <c r="Y6" s="167">
        <f>IFERROR(IF(C_Corrupción[[#This Row],[Código riesgo]]&lt;&gt;C5,_xlfn.XLOOKUP(C_Corrupción[[#This Row],[Código riesgo]],R_Corrupción[Código riesgo],R_Corrupción[Pi %],,0)*IF(C_Corrupción[[#This Row],[Efecto]]="Probabilidad",1-C_Corrupción[[#This Row],[Peso]],1),IF(C_Corrupción[[#This Row],[Efecto]]="Probabilidad",Y5*(1-C_Corrupción[[#This Row],[Peso]]),Y5)),"")</f>
        <v>0.48</v>
      </c>
      <c r="Z6" s="168">
        <f>IFERROR(IF(C_Corrupción[[#This Row],[Código riesgo]]&lt;&gt;C5,_xlfn.XLOOKUP(C_Corrupción[[#This Row],[Código riesgo]],R_Corrupción[Código riesgo],R_Corrupción[Ii %],,0)*IF(C_Corrupción[[#This Row],[Efecto]]="Impacto",1-C_Corrupción[[#This Row],[Peso]],1),IF(C_Corrupción[[#This Row],[Efecto]]="Impacto",Z5*(1-C_Corrupción[[#This Row],[Peso]]),Z5)),"")</f>
        <v>1</v>
      </c>
    </row>
    <row r="7" spans="1:53" ht="99" x14ac:dyDescent="0.25">
      <c r="A7" s="163">
        <v>2</v>
      </c>
      <c r="B7" s="159" t="str">
        <f>Mapa_RC!B$6</f>
        <v>Adquisiciones</v>
      </c>
      <c r="C7" s="169" t="str">
        <f>Mapa_RC!C$6</f>
        <v>ADQ-C1</v>
      </c>
      <c r="D7" s="165" t="s">
        <v>54</v>
      </c>
      <c r="E7" s="165" t="s">
        <v>55</v>
      </c>
      <c r="F7" s="165" t="s">
        <v>56</v>
      </c>
      <c r="G7" s="165"/>
      <c r="H7" s="80" t="s">
        <v>372</v>
      </c>
      <c r="I7" s="87" t="str">
        <f>IF(C_Corrupción[[#This Row],[Responsable de ejecutar]]&lt;&gt;"",CONCATENATE(C_Corrupción[[#This Row],[Código riesgo]],"-",IF(C_Corrupción[[#This Row],[Código riesgo]]&lt;&gt;C6,1,RIGHT(I6,1)+1)),"")</f>
        <v>ADQ-C1-2</v>
      </c>
      <c r="J7" s="157" t="s">
        <v>373</v>
      </c>
      <c r="K7" s="157" t="s">
        <v>374</v>
      </c>
      <c r="L7" s="157" t="s">
        <v>375</v>
      </c>
      <c r="M7" s="87" t="s">
        <v>23</v>
      </c>
      <c r="N7" s="87" t="s">
        <v>30</v>
      </c>
      <c r="O7" s="87" t="s">
        <v>376</v>
      </c>
      <c r="P7" s="87" t="s">
        <v>115</v>
      </c>
      <c r="Q7" s="87" t="s">
        <v>377</v>
      </c>
      <c r="R7" s="87"/>
      <c r="S7" s="157"/>
      <c r="T7" s="157"/>
      <c r="U7" s="172"/>
      <c r="V7" s="172"/>
      <c r="W7" s="166">
        <f>_xlfn.XLOOKUP(CONCATENATE(C_Corrupción[[#This Row],[Momento de ejecución]],C_Corrupción[[#This Row],[Forma de ejecución]]),C_Atributos,C_Peso,"",0)</f>
        <v>0.25</v>
      </c>
      <c r="X7" s="87" t="str">
        <f>IFERROR(_xlfn.XLOOKUP(C_Corrupción[[#This Row],[Momento de ejecución]],C_Momento,C_Efecto,,0),"")</f>
        <v>Impacto</v>
      </c>
      <c r="Y7" s="167">
        <f>IFERROR(IF(C_Corrupción[[#This Row],[Código riesgo]]&lt;&gt;C6,_xlfn.XLOOKUP(C_Corrupción[[#This Row],[Código riesgo]],R_Corrupción[Código riesgo],R_Corrupción[Pi %],,0)*IF(C_Corrupción[[#This Row],[Efecto]]="Probabilidad",1-C_Corrupción[[#This Row],[Peso]],1),IF(C_Corrupción[[#This Row],[Efecto]]="Probabilidad",Y6*(1-C_Corrupción[[#This Row],[Peso]]),Y6)),"")</f>
        <v>0.48</v>
      </c>
      <c r="Z7" s="168">
        <f>IFERROR(IF(C_Corrupción[[#This Row],[Código riesgo]]&lt;&gt;C6,_xlfn.XLOOKUP(C_Corrupción[[#This Row],[Código riesgo]],R_Corrupción[Código riesgo],R_Corrupción[Ii %],,0)*IF(C_Corrupción[[#This Row],[Efecto]]="Impacto",1-C_Corrupción[[#This Row],[Peso]],1),IF(C_Corrupción[[#This Row],[Efecto]]="Impacto",Z6*(1-C_Corrupción[[#This Row],[Peso]]),Z6)),"")</f>
        <v>0.75</v>
      </c>
    </row>
    <row r="8" spans="1:53" ht="33" x14ac:dyDescent="0.25">
      <c r="A8" s="163">
        <v>3</v>
      </c>
      <c r="B8" s="159" t="str">
        <f>Mapa_RC!B$6</f>
        <v>Adquisiciones</v>
      </c>
      <c r="C8" s="169" t="str">
        <f>Mapa_RC!C$6</f>
        <v>ADQ-C1</v>
      </c>
      <c r="D8" s="165" t="s">
        <v>58</v>
      </c>
      <c r="E8" s="165" t="s">
        <v>59</v>
      </c>
      <c r="F8" s="165" t="s">
        <v>60</v>
      </c>
      <c r="G8" s="165"/>
      <c r="H8" s="80"/>
      <c r="I8" s="87" t="str">
        <f>IF(C_Corrupción[[#This Row],[Responsable de ejecutar]]&lt;&gt;"",CONCATENATE(C_Corrupción[[#This Row],[Código riesgo]],"-",IF(C_Corrupción[[#This Row],[Código riesgo]]&lt;&gt;C7,1,RIGHT(I7,1)+1)),"")</f>
        <v/>
      </c>
      <c r="J8" s="157"/>
      <c r="K8" s="157"/>
      <c r="L8" s="157"/>
      <c r="M8" s="87"/>
      <c r="N8" s="87"/>
      <c r="O8" s="87"/>
      <c r="P8" s="87"/>
      <c r="Q8" s="87"/>
      <c r="R8" s="87"/>
      <c r="S8" s="157"/>
      <c r="T8" s="157"/>
      <c r="U8" s="172"/>
      <c r="V8" s="172"/>
      <c r="W8" s="166" t="str">
        <f>_xlfn.XLOOKUP(CONCATENATE(C_Corrupción[[#This Row],[Momento de ejecución]],C_Corrupción[[#This Row],[Forma de ejecución]]),C_Atributos,C_Peso,"",0)</f>
        <v/>
      </c>
      <c r="X8" s="87" t="str">
        <f>IFERROR(_xlfn.XLOOKUP(C_Corrupción[[#This Row],[Momento de ejecución]],C_Momento,C_Efecto,,0),"")</f>
        <v/>
      </c>
      <c r="Y8" s="167">
        <f>IFERROR(IF(C_Corrupción[[#This Row],[Código riesgo]]&lt;&gt;C7,_xlfn.XLOOKUP(C_Corrupción[[#This Row],[Código riesgo]],R_Corrupción[Código riesgo],R_Corrupción[Pi %],,0)*IF(C_Corrupción[[#This Row],[Efecto]]="Probabilidad",1-C_Corrupción[[#This Row],[Peso]],1),IF(C_Corrupción[[#This Row],[Efecto]]="Probabilidad",Y7*(1-C_Corrupción[[#This Row],[Peso]]),Y7)),"")</f>
        <v>0.48</v>
      </c>
      <c r="Z8" s="168">
        <f>IFERROR(IF(C_Corrupción[[#This Row],[Código riesgo]]&lt;&gt;C7,_xlfn.XLOOKUP(C_Corrupción[[#This Row],[Código riesgo]],R_Corrupción[Código riesgo],R_Corrupción[Ii %],,0)*IF(C_Corrupción[[#This Row],[Efecto]]="Impacto",1-C_Corrupción[[#This Row],[Peso]],1),IF(C_Corrupción[[#This Row],[Efecto]]="Impacto",Z7*(1-C_Corrupción[[#This Row],[Peso]]),Z7)),"")</f>
        <v>0.75</v>
      </c>
    </row>
    <row r="9" spans="1:53" ht="33" x14ac:dyDescent="0.25">
      <c r="A9" s="163">
        <v>4</v>
      </c>
      <c r="B9" s="159" t="str">
        <f>Mapa_RC!B$6</f>
        <v>Adquisiciones</v>
      </c>
      <c r="C9" s="169" t="str">
        <f>Mapa_RC!C$6</f>
        <v>ADQ-C1</v>
      </c>
      <c r="D9" s="165"/>
      <c r="E9" s="165"/>
      <c r="F9" s="165" t="s">
        <v>64</v>
      </c>
      <c r="G9" s="165"/>
      <c r="H9" s="80"/>
      <c r="I9" s="87" t="str">
        <f>IF(C_Corrupción[[#This Row],[Responsable de ejecutar]]&lt;&gt;"",CONCATENATE(C_Corrupción[[#This Row],[Código riesgo]],"-",IF(C_Corrupción[[#This Row],[Código riesgo]]&lt;&gt;C8,1,RIGHT(I8,1)+1)),"")</f>
        <v/>
      </c>
      <c r="J9" s="157"/>
      <c r="K9" s="157"/>
      <c r="L9" s="157"/>
      <c r="M9" s="87"/>
      <c r="N9" s="87"/>
      <c r="O9" s="87"/>
      <c r="P9" s="87"/>
      <c r="Q9" s="87"/>
      <c r="R9" s="87"/>
      <c r="S9" s="157"/>
      <c r="T9" s="157"/>
      <c r="U9" s="172"/>
      <c r="V9" s="172"/>
      <c r="W9" s="166" t="str">
        <f>_xlfn.XLOOKUP(CONCATENATE(C_Corrupción[[#This Row],[Momento de ejecución]],C_Corrupción[[#This Row],[Forma de ejecución]]),C_Atributos,C_Peso,"",0)</f>
        <v/>
      </c>
      <c r="X9" s="87" t="str">
        <f>IFERROR(_xlfn.XLOOKUP(C_Corrupción[[#This Row],[Momento de ejecución]],C_Momento,C_Efecto,,0),"")</f>
        <v/>
      </c>
      <c r="Y9" s="167">
        <f>IFERROR(IF(C_Corrupción[[#This Row],[Código riesgo]]&lt;&gt;C8,_xlfn.XLOOKUP(C_Corrupción[[#This Row],[Código riesgo]],R_Corrupción[Código riesgo],R_Corrupción[Pi %],,0)*IF(C_Corrupción[[#This Row],[Efecto]]="Probabilidad",1-C_Corrupción[[#This Row],[Peso]],1),IF(C_Corrupción[[#This Row],[Efecto]]="Probabilidad",Y8*(1-C_Corrupción[[#This Row],[Peso]]),Y8)),"")</f>
        <v>0.48</v>
      </c>
      <c r="Z9" s="168">
        <f>IFERROR(IF(C_Corrupción[[#This Row],[Código riesgo]]&lt;&gt;C8,_xlfn.XLOOKUP(C_Corrupción[[#This Row],[Código riesgo]],R_Corrupción[Código riesgo],R_Corrupción[Ii %],,0)*IF(C_Corrupción[[#This Row],[Efecto]]="Impacto",1-C_Corrupción[[#This Row],[Peso]],1),IF(C_Corrupción[[#This Row],[Efecto]]="Impacto",Z8*(1-C_Corrupción[[#This Row],[Peso]]),Z8)),"")</f>
        <v>0.75</v>
      </c>
    </row>
    <row r="10" spans="1:53" ht="33" x14ac:dyDescent="0.25">
      <c r="A10" s="163">
        <v>5</v>
      </c>
      <c r="B10" s="159" t="str">
        <f>Mapa_RC!B$6</f>
        <v>Adquisiciones</v>
      </c>
      <c r="C10" s="169" t="str">
        <f>Mapa_RC!C$6</f>
        <v>ADQ-C1</v>
      </c>
      <c r="D10" s="165"/>
      <c r="E10" s="165"/>
      <c r="F10" s="165" t="s">
        <v>68</v>
      </c>
      <c r="G10" s="165"/>
      <c r="H10" s="80"/>
      <c r="I10" s="87" t="str">
        <f>IF(C_Corrupción[[#This Row],[Responsable de ejecutar]]&lt;&gt;"",CONCATENATE(C_Corrupción[[#This Row],[Código riesgo]],"-",IF(C_Corrupción[[#This Row],[Código riesgo]]&lt;&gt;C9,1,RIGHT(I9,1)+1)),"")</f>
        <v/>
      </c>
      <c r="J10" s="157"/>
      <c r="K10" s="157"/>
      <c r="L10" s="157"/>
      <c r="M10" s="87"/>
      <c r="N10" s="87"/>
      <c r="O10" s="87"/>
      <c r="P10" s="87"/>
      <c r="Q10" s="87"/>
      <c r="R10" s="87"/>
      <c r="S10" s="157"/>
      <c r="T10" s="157"/>
      <c r="U10" s="172"/>
      <c r="V10" s="172"/>
      <c r="W10" s="166" t="str">
        <f>_xlfn.XLOOKUP(CONCATENATE(C_Corrupción[[#This Row],[Momento de ejecución]],C_Corrupción[[#This Row],[Forma de ejecución]]),C_Atributos,C_Peso,"",0)</f>
        <v/>
      </c>
      <c r="X10" s="87" t="str">
        <f>IFERROR(_xlfn.XLOOKUP(C_Corrupción[[#This Row],[Momento de ejecución]],C_Momento,C_Efecto,,0),"")</f>
        <v/>
      </c>
      <c r="Y10" s="167">
        <f>IFERROR(IF(C_Corrupción[[#This Row],[Código riesgo]]&lt;&gt;C9,_xlfn.XLOOKUP(C_Corrupción[[#This Row],[Código riesgo]],R_Corrupción[Código riesgo],R_Corrupción[Pi %],,0)*IF(C_Corrupción[[#This Row],[Efecto]]="Probabilidad",1-C_Corrupción[[#This Row],[Peso]],1),IF(C_Corrupción[[#This Row],[Efecto]]="Probabilidad",Y9*(1-C_Corrupción[[#This Row],[Peso]]),Y9)),"")</f>
        <v>0.48</v>
      </c>
      <c r="Z10" s="168">
        <f>IFERROR(IF(C_Corrupción[[#This Row],[Código riesgo]]&lt;&gt;C9,_xlfn.XLOOKUP(C_Corrupción[[#This Row],[Código riesgo]],R_Corrupción[Código riesgo],R_Corrupción[Ii %],,0)*IF(C_Corrupción[[#This Row],[Efecto]]="Impacto",1-C_Corrupción[[#This Row],[Peso]],1),IF(C_Corrupción[[#This Row],[Efecto]]="Impacto",Z9*(1-C_Corrupción[[#This Row],[Peso]]),Z9)),"")</f>
        <v>0.75</v>
      </c>
    </row>
    <row r="11" spans="1:53" x14ac:dyDescent="0.25">
      <c r="A11" s="163">
        <v>6</v>
      </c>
      <c r="B11" s="159" t="str">
        <f>Mapa_RC!B$6</f>
        <v>Adquisiciones</v>
      </c>
      <c r="C11" s="169" t="str">
        <f>Mapa_RC!C$6</f>
        <v>ADQ-C1</v>
      </c>
      <c r="D11" s="170" t="s">
        <v>378</v>
      </c>
      <c r="E11" s="170" t="s">
        <v>378</v>
      </c>
      <c r="F11" s="170" t="s">
        <v>378</v>
      </c>
      <c r="G11" s="164">
        <f>COUNTA(D6:G10)</f>
        <v>12</v>
      </c>
      <c r="H11" s="80"/>
      <c r="I11" s="87" t="str">
        <f>IF(C_Corrupción[[#This Row],[Responsable de ejecutar]]&lt;&gt;"",CONCATENATE(C_Corrupción[[#This Row],[Código riesgo]],"-",IF(C_Corrupción[[#This Row],[Código riesgo]]&lt;&gt;C10,1,RIGHT(I10,1)+1)),"")</f>
        <v/>
      </c>
      <c r="J11" s="157"/>
      <c r="K11" s="157"/>
      <c r="L11" s="157"/>
      <c r="M11" s="87"/>
      <c r="N11" s="87"/>
      <c r="O11" s="87"/>
      <c r="P11" s="87"/>
      <c r="Q11" s="87"/>
      <c r="R11" s="87"/>
      <c r="S11" s="157"/>
      <c r="T11" s="157"/>
      <c r="U11" s="172"/>
      <c r="V11" s="172"/>
      <c r="W11" s="166" t="str">
        <f>_xlfn.XLOOKUP(CONCATENATE(C_Corrupción[[#This Row],[Momento de ejecución]],C_Corrupción[[#This Row],[Forma de ejecución]]),C_Atributos,C_Peso,"",0)</f>
        <v/>
      </c>
      <c r="X11" s="87" t="str">
        <f>IFERROR(_xlfn.XLOOKUP(C_Corrupción[[#This Row],[Momento de ejecución]],C_Momento,C_Efecto,,0),"")</f>
        <v/>
      </c>
      <c r="Y11" s="167">
        <f>IFERROR(IF(C_Corrupción[[#This Row],[Código riesgo]]&lt;&gt;C10,_xlfn.XLOOKUP(C_Corrupción[[#This Row],[Código riesgo]],R_Corrupción[Código riesgo],R_Corrupción[Pi %],,0)*IF(C_Corrupción[[#This Row],[Efecto]]="Probabilidad",1-C_Corrupción[[#This Row],[Peso]],1),IF(C_Corrupción[[#This Row],[Efecto]]="Probabilidad",Y10*(1-C_Corrupción[[#This Row],[Peso]]),Y10)),"")</f>
        <v>0.48</v>
      </c>
      <c r="Z11" s="168">
        <f>IFERROR(IF(C_Corrupción[[#This Row],[Código riesgo]]&lt;&gt;C10,_xlfn.XLOOKUP(C_Corrupción[[#This Row],[Código riesgo]],R_Corrupción[Código riesgo],R_Corrupción[Ii %],,0)*IF(C_Corrupción[[#This Row],[Efecto]]="Impacto",1-C_Corrupción[[#This Row],[Peso]],1),IF(C_Corrupción[[#This Row],[Efecto]]="Impacto",Z10*(1-C_Corrupción[[#This Row],[Peso]]),Z10)),"")</f>
        <v>0.75</v>
      </c>
    </row>
    <row r="12" spans="1:53" ht="181.5" x14ac:dyDescent="0.25">
      <c r="A12" s="163">
        <v>7</v>
      </c>
      <c r="B12" s="159" t="str">
        <f>Mapa_RC!B$7</f>
        <v>Direccionamiento estratégico</v>
      </c>
      <c r="C12" s="164" t="str">
        <f>Mapa_RC!C$7</f>
        <v>DIR-C1</v>
      </c>
      <c r="D12" s="165" t="s">
        <v>50</v>
      </c>
      <c r="E12" s="165" t="s">
        <v>51</v>
      </c>
      <c r="F12" s="165" t="s">
        <v>365</v>
      </c>
      <c r="G12" s="165" t="s">
        <v>53</v>
      </c>
      <c r="H12" s="80" t="s">
        <v>379</v>
      </c>
      <c r="I12" s="87" t="str">
        <f>IF(C_Corrupción[[#This Row],[Responsable de ejecutar]]&lt;&gt;"",CONCATENATE(C_Corrupción[[#This Row],[Código riesgo]],"-",IF(C_Corrupción[[#This Row],[Código riesgo]]&lt;&gt;C11,1,RIGHT(I11,1)+1)),"")</f>
        <v>DIR-C1-1</v>
      </c>
      <c r="J12" s="157" t="s">
        <v>380</v>
      </c>
      <c r="K12" s="157" t="s">
        <v>381</v>
      </c>
      <c r="L12" s="157" t="s">
        <v>382</v>
      </c>
      <c r="M12" s="87" t="s">
        <v>17</v>
      </c>
      <c r="N12" s="87" t="s">
        <v>30</v>
      </c>
      <c r="O12" s="87" t="s">
        <v>383</v>
      </c>
      <c r="P12" s="87" t="s">
        <v>384</v>
      </c>
      <c r="Q12" s="87" t="s">
        <v>385</v>
      </c>
      <c r="R12" s="87"/>
      <c r="S12" s="157"/>
      <c r="T12" s="157"/>
      <c r="U12" s="172"/>
      <c r="V12" s="172"/>
      <c r="W12" s="166">
        <f>_xlfn.XLOOKUP(CONCATENATE(C_Corrupción[[#This Row],[Momento de ejecución]],C_Corrupción[[#This Row],[Forma de ejecución]]),C_Atributos,C_Peso,"",0)</f>
        <v>0.4</v>
      </c>
      <c r="X12" s="87" t="str">
        <f>IFERROR(_xlfn.XLOOKUP(C_Corrupción[[#This Row],[Momento de ejecución]],C_Momento,C_Efecto,,0),"")</f>
        <v>Probabilidad</v>
      </c>
      <c r="Y12" s="167">
        <f>IFERROR(IF(C_Corrupción[[#This Row],[Código riesgo]]&lt;&gt;C11,_xlfn.XLOOKUP(C_Corrupción[[#This Row],[Código riesgo]],R_Corrupción[Código riesgo],R_Corrupción[Pi %],,0)*IF(C_Corrupción[[#This Row],[Efecto]]="Probabilidad",1-C_Corrupción[[#This Row],[Peso]],1),IF(C_Corrupción[[#This Row],[Efecto]]="Probabilidad",Y11*(1-C_Corrupción[[#This Row],[Peso]]),Y11)),"")</f>
        <v>0.24</v>
      </c>
      <c r="Z12" s="168">
        <f>IFERROR(IF(C_Corrupción[[#This Row],[Código riesgo]]&lt;&gt;C11,_xlfn.XLOOKUP(C_Corrupción[[#This Row],[Código riesgo]],R_Corrupción[Código riesgo],R_Corrupción[Ii %],,0)*IF(C_Corrupción[[#This Row],[Efecto]]="Impacto",1-C_Corrupción[[#This Row],[Peso]],1),IF(C_Corrupción[[#This Row],[Efecto]]="Impacto",Z11*(1-C_Corrupción[[#This Row],[Peso]]),Z11)),"")</f>
        <v>1</v>
      </c>
    </row>
    <row r="13" spans="1:53" ht="132" x14ac:dyDescent="0.25">
      <c r="A13" s="163">
        <v>8</v>
      </c>
      <c r="B13" s="159" t="str">
        <f>Mapa_RC!B$7</f>
        <v>Direccionamiento estratégico</v>
      </c>
      <c r="C13" s="169" t="str">
        <f>Mapa_RC!C$7</f>
        <v>DIR-C1</v>
      </c>
      <c r="D13" s="165" t="s">
        <v>54</v>
      </c>
      <c r="E13" s="165"/>
      <c r="F13" s="165" t="s">
        <v>56</v>
      </c>
      <c r="G13" s="165" t="s">
        <v>57</v>
      </c>
      <c r="H13" s="80" t="s">
        <v>379</v>
      </c>
      <c r="I13" s="87" t="str">
        <f>IF(C_Corrupción[[#This Row],[Responsable de ejecutar]]&lt;&gt;"",CONCATENATE(C_Corrupción[[#This Row],[Código riesgo]],"-",IF(C_Corrupción[[#This Row],[Código riesgo]]&lt;&gt;C12,1,RIGHT(I12,1)+1)),"")</f>
        <v>DIR-C1-2</v>
      </c>
      <c r="J13" s="157" t="s">
        <v>388</v>
      </c>
      <c r="K13" s="157" t="s">
        <v>389</v>
      </c>
      <c r="L13" s="157" t="s">
        <v>390</v>
      </c>
      <c r="M13" s="87" t="s">
        <v>20</v>
      </c>
      <c r="N13" s="87" t="s">
        <v>30</v>
      </c>
      <c r="O13" s="87" t="s">
        <v>391</v>
      </c>
      <c r="P13" s="87" t="s">
        <v>384</v>
      </c>
      <c r="Q13" s="87" t="s">
        <v>392</v>
      </c>
      <c r="R13" s="87" t="s">
        <v>212</v>
      </c>
      <c r="S13" s="157" t="s">
        <v>386</v>
      </c>
      <c r="T13" s="157" t="s">
        <v>387</v>
      </c>
      <c r="U13" s="172">
        <v>45505</v>
      </c>
      <c r="V13" s="172">
        <v>45625</v>
      </c>
      <c r="W13" s="166">
        <f>_xlfn.XLOOKUP(CONCATENATE(C_Corrupción[[#This Row],[Momento de ejecución]],C_Corrupción[[#This Row],[Forma de ejecución]]),C_Atributos,C_Peso,"",0)</f>
        <v>0.3</v>
      </c>
      <c r="X13" s="87" t="str">
        <f>IFERROR(_xlfn.XLOOKUP(C_Corrupción[[#This Row],[Momento de ejecución]],C_Momento,C_Efecto,,0),"")</f>
        <v>Probabilidad</v>
      </c>
      <c r="Y13" s="167">
        <f>IFERROR(IF(C_Corrupción[[#This Row],[Código riesgo]]&lt;&gt;C12,_xlfn.XLOOKUP(C_Corrupción[[#This Row],[Código riesgo]],R_Corrupción[Código riesgo],R_Corrupción[Pi %],,0)*IF(C_Corrupción[[#This Row],[Efecto]]="Probabilidad",1-C_Corrupción[[#This Row],[Peso]],1),IF(C_Corrupción[[#This Row],[Efecto]]="Probabilidad",Y12*(1-C_Corrupción[[#This Row],[Peso]]),Y12)),"")</f>
        <v>0.16799999999999998</v>
      </c>
      <c r="Z13" s="168">
        <f>IFERROR(IF(C_Corrupción[[#This Row],[Código riesgo]]&lt;&gt;C12,_xlfn.XLOOKUP(C_Corrupción[[#This Row],[Código riesgo]],R_Corrupción[Código riesgo],R_Corrupción[Ii %],,0)*IF(C_Corrupción[[#This Row],[Efecto]]="Impacto",1-C_Corrupción[[#This Row],[Peso]],1),IF(C_Corrupción[[#This Row],[Efecto]]="Impacto",Z12*(1-C_Corrupción[[#This Row],[Peso]]),Z12)),"")</f>
        <v>1</v>
      </c>
    </row>
    <row r="14" spans="1:53" ht="181.5" x14ac:dyDescent="0.25">
      <c r="A14" s="163">
        <v>9</v>
      </c>
      <c r="B14" s="159" t="str">
        <f>Mapa_RC!B$7</f>
        <v>Direccionamiento estratégico</v>
      </c>
      <c r="C14" s="169" t="str">
        <f>Mapa_RC!C$7</f>
        <v>DIR-C1</v>
      </c>
      <c r="D14" s="165" t="s">
        <v>58</v>
      </c>
      <c r="E14" s="165" t="s">
        <v>59</v>
      </c>
      <c r="F14" s="165" t="s">
        <v>60</v>
      </c>
      <c r="G14" s="165" t="s">
        <v>61</v>
      </c>
      <c r="H14" s="80" t="s">
        <v>393</v>
      </c>
      <c r="I14" s="87" t="str">
        <f>IF(C_Corrupción[[#This Row],[Responsable de ejecutar]]&lt;&gt;"",CONCATENATE(C_Corrupción[[#This Row],[Código riesgo]],"-",IF(C_Corrupción[[#This Row],[Código riesgo]]&lt;&gt;C13,1,RIGHT(I13,1)+1)),"")</f>
        <v>DIR-C1-3</v>
      </c>
      <c r="J14" s="157" t="s">
        <v>394</v>
      </c>
      <c r="K14" s="157" t="s">
        <v>395</v>
      </c>
      <c r="L14" s="157" t="s">
        <v>396</v>
      </c>
      <c r="M14" s="87" t="s">
        <v>20</v>
      </c>
      <c r="N14" s="87" t="s">
        <v>30</v>
      </c>
      <c r="O14" s="87" t="s">
        <v>397</v>
      </c>
      <c r="P14" s="87" t="s">
        <v>384</v>
      </c>
      <c r="Q14" s="87" t="s">
        <v>385</v>
      </c>
      <c r="R14" s="87"/>
      <c r="S14" s="157"/>
      <c r="T14" s="157"/>
      <c r="U14" s="172"/>
      <c r="V14" s="172"/>
      <c r="W14" s="166">
        <f>_xlfn.XLOOKUP(CONCATENATE(C_Corrupción[[#This Row],[Momento de ejecución]],C_Corrupción[[#This Row],[Forma de ejecución]]),C_Atributos,C_Peso,"",0)</f>
        <v>0.3</v>
      </c>
      <c r="X14" s="87" t="str">
        <f>IFERROR(_xlfn.XLOOKUP(C_Corrupción[[#This Row],[Momento de ejecución]],C_Momento,C_Efecto,,0),"")</f>
        <v>Probabilidad</v>
      </c>
      <c r="Y14" s="167">
        <f>IFERROR(IF(C_Corrupción[[#This Row],[Código riesgo]]&lt;&gt;C13,_xlfn.XLOOKUP(C_Corrupción[[#This Row],[Código riesgo]],R_Corrupción[Código riesgo],R_Corrupción[Pi %],,0)*IF(C_Corrupción[[#This Row],[Efecto]]="Probabilidad",1-C_Corrupción[[#This Row],[Peso]],1),IF(C_Corrupción[[#This Row],[Efecto]]="Probabilidad",Y13*(1-C_Corrupción[[#This Row],[Peso]]),Y13)),"")</f>
        <v>0.11759999999999998</v>
      </c>
      <c r="Z14" s="168">
        <f>IFERROR(IF(C_Corrupción[[#This Row],[Código riesgo]]&lt;&gt;C13,_xlfn.XLOOKUP(C_Corrupción[[#This Row],[Código riesgo]],R_Corrupción[Código riesgo],R_Corrupción[Ii %],,0)*IF(C_Corrupción[[#This Row],[Efecto]]="Impacto",1-C_Corrupción[[#This Row],[Peso]],1),IF(C_Corrupción[[#This Row],[Efecto]]="Impacto",Z13*(1-C_Corrupción[[#This Row],[Peso]]),Z13)),"")</f>
        <v>1</v>
      </c>
    </row>
    <row r="15" spans="1:53" ht="99" x14ac:dyDescent="0.25">
      <c r="A15" s="163">
        <v>10</v>
      </c>
      <c r="B15" s="159" t="str">
        <f>Mapa_RC!B$7</f>
        <v>Direccionamiento estratégico</v>
      </c>
      <c r="C15" s="169" t="str">
        <f>Mapa_RC!C$7</f>
        <v>DIR-C1</v>
      </c>
      <c r="D15" s="165" t="s">
        <v>398</v>
      </c>
      <c r="E15" s="165"/>
      <c r="F15" s="165" t="s">
        <v>64</v>
      </c>
      <c r="G15" s="165" t="s">
        <v>65</v>
      </c>
      <c r="H15" s="80" t="s">
        <v>399</v>
      </c>
      <c r="I15" s="87" t="str">
        <f>IF(C_Corrupción[[#This Row],[Responsable de ejecutar]]&lt;&gt;"",CONCATENATE(C_Corrupción[[#This Row],[Código riesgo]],"-",IF(C_Corrupción[[#This Row],[Código riesgo]]&lt;&gt;C14,1,RIGHT(I14,1)+1)),"")</f>
        <v>DIR-C1-4</v>
      </c>
      <c r="J15" s="157" t="s">
        <v>373</v>
      </c>
      <c r="K15" s="157" t="s">
        <v>374</v>
      </c>
      <c r="L15" s="157" t="s">
        <v>375</v>
      </c>
      <c r="M15" s="87" t="s">
        <v>23</v>
      </c>
      <c r="N15" s="87" t="s">
        <v>30</v>
      </c>
      <c r="O15" s="87" t="s">
        <v>376</v>
      </c>
      <c r="P15" s="87" t="s">
        <v>115</v>
      </c>
      <c r="Q15" s="87" t="s">
        <v>377</v>
      </c>
      <c r="R15" s="87"/>
      <c r="S15" s="157"/>
      <c r="T15" s="157"/>
      <c r="U15" s="172"/>
      <c r="V15" s="172"/>
      <c r="W15" s="166">
        <f>_xlfn.XLOOKUP(CONCATENATE(C_Corrupción[[#This Row],[Momento de ejecución]],C_Corrupción[[#This Row],[Forma de ejecución]]),C_Atributos,C_Peso,"",0)</f>
        <v>0.25</v>
      </c>
      <c r="X15" s="87" t="str">
        <f>IFERROR(_xlfn.XLOOKUP(C_Corrupción[[#This Row],[Momento de ejecución]],C_Momento,C_Efecto,,0),"")</f>
        <v>Impacto</v>
      </c>
      <c r="Y15" s="167">
        <f>IFERROR(IF(C_Corrupción[[#This Row],[Código riesgo]]&lt;&gt;C14,_xlfn.XLOOKUP(C_Corrupción[[#This Row],[Código riesgo]],R_Corrupción[Código riesgo],R_Corrupción[Pi %],,0)*IF(C_Corrupción[[#This Row],[Efecto]]="Probabilidad",1-C_Corrupción[[#This Row],[Peso]],1),IF(C_Corrupción[[#This Row],[Efecto]]="Probabilidad",Y14*(1-C_Corrupción[[#This Row],[Peso]]),Y14)),"")</f>
        <v>0.11759999999999998</v>
      </c>
      <c r="Z15" s="168">
        <f>IFERROR(IF(C_Corrupción[[#This Row],[Código riesgo]]&lt;&gt;C14,_xlfn.XLOOKUP(C_Corrupción[[#This Row],[Código riesgo]],R_Corrupción[Código riesgo],R_Corrupción[Ii %],,0)*IF(C_Corrupción[[#This Row],[Efecto]]="Impacto",1-C_Corrupción[[#This Row],[Peso]],1),IF(C_Corrupción[[#This Row],[Efecto]]="Impacto",Z14*(1-C_Corrupción[[#This Row],[Peso]]),Z14)),"")</f>
        <v>0.75</v>
      </c>
    </row>
    <row r="16" spans="1:53" ht="33" x14ac:dyDescent="0.25">
      <c r="A16" s="163">
        <v>11</v>
      </c>
      <c r="B16" s="159" t="str">
        <f>Mapa_RC!B$7</f>
        <v>Direccionamiento estratégico</v>
      </c>
      <c r="C16" s="169" t="str">
        <f>Mapa_RC!C$7</f>
        <v>DIR-C1</v>
      </c>
      <c r="D16" s="165" t="s">
        <v>66</v>
      </c>
      <c r="E16" s="165"/>
      <c r="F16" s="165" t="s">
        <v>68</v>
      </c>
      <c r="G16" s="165"/>
      <c r="H16" s="80"/>
      <c r="I16" s="87" t="str">
        <f>IF(C_Corrupción[[#This Row],[Responsable de ejecutar]]&lt;&gt;"",CONCATENATE(C_Corrupción[[#This Row],[Código riesgo]],"-",IF(C_Corrupción[[#This Row],[Código riesgo]]&lt;&gt;C15,1,RIGHT(I15,1)+1)),"")</f>
        <v/>
      </c>
      <c r="J16" s="157"/>
      <c r="K16" s="157"/>
      <c r="L16" s="157"/>
      <c r="M16" s="87"/>
      <c r="N16" s="87"/>
      <c r="O16" s="87"/>
      <c r="P16" s="87"/>
      <c r="Q16" s="87"/>
      <c r="R16" s="87"/>
      <c r="S16" s="157"/>
      <c r="T16" s="157"/>
      <c r="U16" s="172"/>
      <c r="V16" s="172"/>
      <c r="W16" s="166" t="str">
        <f>_xlfn.XLOOKUP(CONCATENATE(C_Corrupción[[#This Row],[Momento de ejecución]],C_Corrupción[[#This Row],[Forma de ejecución]]),C_Atributos,C_Peso,"",0)</f>
        <v/>
      </c>
      <c r="X16" s="87" t="str">
        <f>IFERROR(_xlfn.XLOOKUP(C_Corrupción[[#This Row],[Momento de ejecución]],C_Momento,C_Efecto,,0),"")</f>
        <v/>
      </c>
      <c r="Y16" s="167">
        <f>IFERROR(IF(C_Corrupción[[#This Row],[Código riesgo]]&lt;&gt;C15,_xlfn.XLOOKUP(C_Corrupción[[#This Row],[Código riesgo]],R_Corrupción[Código riesgo],R_Corrupción[Pi %],,0)*IF(C_Corrupción[[#This Row],[Efecto]]="Probabilidad",1-C_Corrupción[[#This Row],[Peso]],1),IF(C_Corrupción[[#This Row],[Efecto]]="Probabilidad",Y15*(1-C_Corrupción[[#This Row],[Peso]]),Y15)),"")</f>
        <v>0.11759999999999998</v>
      </c>
      <c r="Z16" s="168">
        <f>IFERROR(IF(C_Corrupción[[#This Row],[Código riesgo]]&lt;&gt;C15,_xlfn.XLOOKUP(C_Corrupción[[#This Row],[Código riesgo]],R_Corrupción[Código riesgo],R_Corrupción[Ii %],,0)*IF(C_Corrupción[[#This Row],[Efecto]]="Impacto",1-C_Corrupción[[#This Row],[Peso]],1),IF(C_Corrupción[[#This Row],[Efecto]]="Impacto",Z15*(1-C_Corrupción[[#This Row],[Peso]]),Z15)),"")</f>
        <v>0.75</v>
      </c>
    </row>
    <row r="17" spans="1:26" ht="33" x14ac:dyDescent="0.25">
      <c r="A17" s="163">
        <v>12</v>
      </c>
      <c r="B17" s="159" t="str">
        <f>Mapa_RC!B$7</f>
        <v>Direccionamiento estratégico</v>
      </c>
      <c r="C17" s="169" t="str">
        <f>Mapa_RC!C$7</f>
        <v>DIR-C1</v>
      </c>
      <c r="D17" s="170" t="s">
        <v>378</v>
      </c>
      <c r="E17" s="170" t="s">
        <v>378</v>
      </c>
      <c r="F17" s="170" t="s">
        <v>378</v>
      </c>
      <c r="G17" s="165">
        <f>COUNTA(D12:G16)</f>
        <v>16</v>
      </c>
      <c r="H17" s="80"/>
      <c r="I17" s="87" t="str">
        <f>IF(C_Corrupción[[#This Row],[Responsable de ejecutar]]&lt;&gt;"",CONCATENATE(C_Corrupción[[#This Row],[Código riesgo]],"-",IF(C_Corrupción[[#This Row],[Código riesgo]]&lt;&gt;C16,1,RIGHT(I16,1)+1)),"")</f>
        <v/>
      </c>
      <c r="J17" s="157"/>
      <c r="K17" s="157"/>
      <c r="L17" s="157"/>
      <c r="M17" s="87"/>
      <c r="N17" s="87"/>
      <c r="O17" s="87"/>
      <c r="P17" s="87"/>
      <c r="Q17" s="87"/>
      <c r="R17" s="87"/>
      <c r="S17" s="157"/>
      <c r="T17" s="157"/>
      <c r="U17" s="172"/>
      <c r="V17" s="172"/>
      <c r="W17" s="166" t="str">
        <f>_xlfn.XLOOKUP(CONCATENATE(C_Corrupción[[#This Row],[Momento de ejecución]],C_Corrupción[[#This Row],[Forma de ejecución]]),C_Atributos,C_Peso,"",0)</f>
        <v/>
      </c>
      <c r="X17" s="87" t="str">
        <f>IFERROR(_xlfn.XLOOKUP(C_Corrupción[[#This Row],[Momento de ejecución]],C_Momento,C_Efecto,,0),"")</f>
        <v/>
      </c>
      <c r="Y17" s="167">
        <f>IFERROR(IF(C_Corrupción[[#This Row],[Código riesgo]]&lt;&gt;C16,_xlfn.XLOOKUP(C_Corrupción[[#This Row],[Código riesgo]],R_Corrupción[Código riesgo],R_Corrupción[Pi %],,0)*IF(C_Corrupción[[#This Row],[Efecto]]="Probabilidad",1-C_Corrupción[[#This Row],[Peso]],1),IF(C_Corrupción[[#This Row],[Efecto]]="Probabilidad",Y16*(1-C_Corrupción[[#This Row],[Peso]]),Y16)),"")</f>
        <v>0.11759999999999998</v>
      </c>
      <c r="Z17" s="168">
        <f>IFERROR(IF(C_Corrupción[[#This Row],[Código riesgo]]&lt;&gt;C16,_xlfn.XLOOKUP(C_Corrupción[[#This Row],[Código riesgo]],R_Corrupción[Código riesgo],R_Corrupción[Ii %],,0)*IF(C_Corrupción[[#This Row],[Efecto]]="Impacto",1-C_Corrupción[[#This Row],[Peso]],1),IF(C_Corrupción[[#This Row],[Efecto]]="Impacto",Z16*(1-C_Corrupción[[#This Row],[Peso]]),Z16)),"")</f>
        <v>0.75</v>
      </c>
    </row>
    <row r="18" spans="1:26" ht="99" x14ac:dyDescent="0.25">
      <c r="A18" s="163">
        <v>13</v>
      </c>
      <c r="B18" s="159" t="str">
        <f>Mapa_RC!$B$8</f>
        <v>Direccionamiento estratégico</v>
      </c>
      <c r="C18" s="164" t="str">
        <f>Mapa_RC!C$8</f>
        <v>DIR-C2</v>
      </c>
      <c r="D18" s="165" t="s">
        <v>50</v>
      </c>
      <c r="E18" s="165" t="s">
        <v>51</v>
      </c>
      <c r="F18" s="165" t="s">
        <v>365</v>
      </c>
      <c r="G18" s="165" t="s">
        <v>53</v>
      </c>
      <c r="H18" s="80" t="s">
        <v>400</v>
      </c>
      <c r="I18" s="87" t="str">
        <f>IF(C_Corrupción[[#This Row],[Responsable de ejecutar]]&lt;&gt;"",CONCATENATE(C_Corrupción[[#This Row],[Código riesgo]],"-",IF(C_Corrupción[[#This Row],[Código riesgo]]&lt;&gt;C17,1,RIGHT(I17,1)+1)),"")</f>
        <v>DIR-C2-1</v>
      </c>
      <c r="J18" s="157" t="s">
        <v>401</v>
      </c>
      <c r="K18" s="157" t="s">
        <v>402</v>
      </c>
      <c r="L18" s="157" t="s">
        <v>403</v>
      </c>
      <c r="M18" s="87" t="s">
        <v>17</v>
      </c>
      <c r="N18" s="87" t="s">
        <v>30</v>
      </c>
      <c r="O18" s="87" t="s">
        <v>109</v>
      </c>
      <c r="P18" s="87" t="s">
        <v>384</v>
      </c>
      <c r="Q18" s="87" t="s">
        <v>404</v>
      </c>
      <c r="R18" s="87" t="s">
        <v>212</v>
      </c>
      <c r="S18" s="157" t="s">
        <v>405</v>
      </c>
      <c r="T18" s="157" t="s">
        <v>401</v>
      </c>
      <c r="U18" s="172">
        <v>45536</v>
      </c>
      <c r="V18" s="172">
        <v>45657</v>
      </c>
      <c r="W18" s="166">
        <f>_xlfn.XLOOKUP(CONCATENATE(C_Corrupción[[#This Row],[Momento de ejecución]],C_Corrupción[[#This Row],[Forma de ejecución]]),C_Atributos,C_Peso,"",0)</f>
        <v>0.4</v>
      </c>
      <c r="X18" s="87" t="str">
        <f>IFERROR(_xlfn.XLOOKUP(C_Corrupción[[#This Row],[Momento de ejecución]],C_Momento,C_Efecto,,0),"")</f>
        <v>Probabilidad</v>
      </c>
      <c r="Y18" s="167">
        <f>IFERROR(IF(C_Corrupción[[#This Row],[Código riesgo]]&lt;&gt;C17,_xlfn.XLOOKUP(C_Corrupción[[#This Row],[Código riesgo]],R_Corrupción[Código riesgo],R_Corrupción[Pi %],,0)*IF(C_Corrupción[[#This Row],[Efecto]]="Probabilidad",1-C_Corrupción[[#This Row],[Peso]],1),IF(C_Corrupción[[#This Row],[Efecto]]="Probabilidad",Y17*(1-C_Corrupción[[#This Row],[Peso]]),Y17)),"")</f>
        <v>0.24</v>
      </c>
      <c r="Z18" s="168">
        <f>IFERROR(IF(C_Corrupción[[#This Row],[Código riesgo]]&lt;&gt;C17,_xlfn.XLOOKUP(C_Corrupción[[#This Row],[Código riesgo]],R_Corrupción[Código riesgo],R_Corrupción[Ii %],,0)*IF(C_Corrupción[[#This Row],[Efecto]]="Impacto",1-C_Corrupción[[#This Row],[Peso]],1),IF(C_Corrupción[[#This Row],[Efecto]]="Impacto",Z17*(1-C_Corrupción[[#This Row],[Peso]]),Z17)),"")</f>
        <v>1</v>
      </c>
    </row>
    <row r="19" spans="1:26" ht="49.5" x14ac:dyDescent="0.25">
      <c r="A19" s="163">
        <v>14</v>
      </c>
      <c r="B19" s="159" t="str">
        <f>Mapa_RC!$B$8</f>
        <v>Direccionamiento estratégico</v>
      </c>
      <c r="C19" s="169" t="str">
        <f>Mapa_RC!C$8</f>
        <v>DIR-C2</v>
      </c>
      <c r="D19" s="165" t="s">
        <v>54</v>
      </c>
      <c r="E19" s="165"/>
      <c r="F19" s="165" t="s">
        <v>56</v>
      </c>
      <c r="G19" s="165" t="s">
        <v>57</v>
      </c>
      <c r="H19" s="80" t="s">
        <v>406</v>
      </c>
      <c r="I19" s="87" t="str">
        <f>IF(C_Corrupción[[#This Row],[Responsable de ejecutar]]&lt;&gt;"",CONCATENATE(C_Corrupción[[#This Row],[Código riesgo]],"-",IF(C_Corrupción[[#This Row],[Código riesgo]]&lt;&gt;C18,1,RIGHT(I18,1)+1)),"")</f>
        <v>DIR-C2-2</v>
      </c>
      <c r="J19" s="157" t="s">
        <v>407</v>
      </c>
      <c r="K19" s="157" t="s">
        <v>408</v>
      </c>
      <c r="L19" s="157" t="s">
        <v>409</v>
      </c>
      <c r="M19" s="87" t="s">
        <v>20</v>
      </c>
      <c r="N19" s="87" t="s">
        <v>30</v>
      </c>
      <c r="O19" s="87" t="s">
        <v>109</v>
      </c>
      <c r="P19" s="87" t="s">
        <v>384</v>
      </c>
      <c r="Q19" s="87" t="s">
        <v>404</v>
      </c>
      <c r="R19" s="87"/>
      <c r="S19" s="157"/>
      <c r="T19" s="157"/>
      <c r="U19" s="172"/>
      <c r="V19" s="172"/>
      <c r="W19" s="166">
        <f>_xlfn.XLOOKUP(CONCATENATE(C_Corrupción[[#This Row],[Momento de ejecución]],C_Corrupción[[#This Row],[Forma de ejecución]]),C_Atributos,C_Peso,"",0)</f>
        <v>0.3</v>
      </c>
      <c r="X19" s="87" t="str">
        <f>IFERROR(_xlfn.XLOOKUP(C_Corrupción[[#This Row],[Momento de ejecución]],C_Momento,C_Efecto,,0),"")</f>
        <v>Probabilidad</v>
      </c>
      <c r="Y19" s="167">
        <f>IFERROR(IF(C_Corrupción[[#This Row],[Código riesgo]]&lt;&gt;C18,_xlfn.XLOOKUP(C_Corrupción[[#This Row],[Código riesgo]],R_Corrupción[Código riesgo],R_Corrupción[Pi %],,0)*IF(C_Corrupción[[#This Row],[Efecto]]="Probabilidad",1-C_Corrupción[[#This Row],[Peso]],1),IF(C_Corrupción[[#This Row],[Efecto]]="Probabilidad",Y18*(1-C_Corrupción[[#This Row],[Peso]]),Y18)),"")</f>
        <v>0.16799999999999998</v>
      </c>
      <c r="Z19" s="168">
        <f>IFERROR(IF(C_Corrupción[[#This Row],[Código riesgo]]&lt;&gt;C18,_xlfn.XLOOKUP(C_Corrupción[[#This Row],[Código riesgo]],R_Corrupción[Código riesgo],R_Corrupción[Ii %],,0)*IF(C_Corrupción[[#This Row],[Efecto]]="Impacto",1-C_Corrupción[[#This Row],[Peso]],1),IF(C_Corrupción[[#This Row],[Efecto]]="Impacto",Z18*(1-C_Corrupción[[#This Row],[Peso]]),Z18)),"")</f>
        <v>1</v>
      </c>
    </row>
    <row r="20" spans="1:26" ht="66" x14ac:dyDescent="0.25">
      <c r="A20" s="163">
        <v>15</v>
      </c>
      <c r="B20" s="159" t="str">
        <f>Mapa_RC!$B$8</f>
        <v>Direccionamiento estratégico</v>
      </c>
      <c r="C20" s="169" t="str">
        <f>Mapa_RC!C$8</f>
        <v>DIR-C2</v>
      </c>
      <c r="D20" s="165" t="s">
        <v>58</v>
      </c>
      <c r="E20" s="165" t="s">
        <v>59</v>
      </c>
      <c r="F20" s="165" t="s">
        <v>60</v>
      </c>
      <c r="G20" s="165"/>
      <c r="H20" s="80" t="s">
        <v>410</v>
      </c>
      <c r="I20" s="87" t="str">
        <f>IF(C_Corrupción[[#This Row],[Responsable de ejecutar]]&lt;&gt;"",CONCATENATE(C_Corrupción[[#This Row],[Código riesgo]],"-",IF(C_Corrupción[[#This Row],[Código riesgo]]&lt;&gt;C19,1,RIGHT(I19,1)+1)),"")</f>
        <v>DIR-C2-3</v>
      </c>
      <c r="J20" s="157" t="s">
        <v>411</v>
      </c>
      <c r="K20" s="157" t="s">
        <v>412</v>
      </c>
      <c r="L20" s="157" t="s">
        <v>413</v>
      </c>
      <c r="M20" s="87" t="s">
        <v>20</v>
      </c>
      <c r="N20" s="87" t="s">
        <v>30</v>
      </c>
      <c r="O20" s="87" t="s">
        <v>109</v>
      </c>
      <c r="P20" s="87" t="s">
        <v>135</v>
      </c>
      <c r="Q20" s="87" t="s">
        <v>404</v>
      </c>
      <c r="R20" s="87"/>
      <c r="S20" s="157"/>
      <c r="T20" s="157"/>
      <c r="U20" s="172"/>
      <c r="V20" s="172"/>
      <c r="W20" s="166">
        <f>_xlfn.XLOOKUP(CONCATENATE(C_Corrupción[[#This Row],[Momento de ejecución]],C_Corrupción[[#This Row],[Forma de ejecución]]),C_Atributos,C_Peso,"",0)</f>
        <v>0.3</v>
      </c>
      <c r="X20" s="87" t="str">
        <f>IFERROR(_xlfn.XLOOKUP(C_Corrupción[[#This Row],[Momento de ejecución]],C_Momento,C_Efecto,,0),"")</f>
        <v>Probabilidad</v>
      </c>
      <c r="Y20" s="167">
        <f>IFERROR(IF(C_Corrupción[[#This Row],[Código riesgo]]&lt;&gt;C19,_xlfn.XLOOKUP(C_Corrupción[[#This Row],[Código riesgo]],R_Corrupción[Código riesgo],R_Corrupción[Pi %],,0)*IF(C_Corrupción[[#This Row],[Efecto]]="Probabilidad",1-C_Corrupción[[#This Row],[Peso]],1),IF(C_Corrupción[[#This Row],[Efecto]]="Probabilidad",Y19*(1-C_Corrupción[[#This Row],[Peso]]),Y19)),"")</f>
        <v>0.11759999999999998</v>
      </c>
      <c r="Z20" s="168">
        <f>IFERROR(IF(C_Corrupción[[#This Row],[Código riesgo]]&lt;&gt;C19,_xlfn.XLOOKUP(C_Corrupción[[#This Row],[Código riesgo]],R_Corrupción[Código riesgo],R_Corrupción[Ii %],,0)*IF(C_Corrupción[[#This Row],[Efecto]]="Impacto",1-C_Corrupción[[#This Row],[Peso]],1),IF(C_Corrupción[[#This Row],[Efecto]]="Impacto",Z19*(1-C_Corrupción[[#This Row],[Peso]]),Z19)),"")</f>
        <v>1</v>
      </c>
    </row>
    <row r="21" spans="1:26" ht="49.5" x14ac:dyDescent="0.25">
      <c r="A21" s="163">
        <v>16</v>
      </c>
      <c r="B21" s="159" t="str">
        <f>Mapa_RC!$B$8</f>
        <v>Direccionamiento estratégico</v>
      </c>
      <c r="C21" s="169" t="str">
        <f>Mapa_RC!C$8</f>
        <v>DIR-C2</v>
      </c>
      <c r="D21" s="165" t="s">
        <v>62</v>
      </c>
      <c r="E21" s="165"/>
      <c r="F21" s="165" t="s">
        <v>64</v>
      </c>
      <c r="G21" s="165" t="s">
        <v>65</v>
      </c>
      <c r="H21" s="80" t="s">
        <v>414</v>
      </c>
      <c r="I21" s="87" t="str">
        <f>IF(C_Corrupción[[#This Row],[Responsable de ejecutar]]&lt;&gt;"",CONCATENATE(C_Corrupción[[#This Row],[Código riesgo]],"-",IF(C_Corrupción[[#This Row],[Código riesgo]]&lt;&gt;C20,1,RIGHT(I20,1)+1)),"")</f>
        <v>DIR-C2-4</v>
      </c>
      <c r="J21" s="157" t="s">
        <v>411</v>
      </c>
      <c r="K21" s="157" t="s">
        <v>415</v>
      </c>
      <c r="L21" s="157" t="s">
        <v>416</v>
      </c>
      <c r="M21" s="87" t="s">
        <v>20</v>
      </c>
      <c r="N21" s="87" t="s">
        <v>30</v>
      </c>
      <c r="O21" s="87" t="s">
        <v>109</v>
      </c>
      <c r="P21" s="87" t="s">
        <v>417</v>
      </c>
      <c r="Q21" s="87" t="s">
        <v>404</v>
      </c>
      <c r="R21" s="87"/>
      <c r="S21" s="157"/>
      <c r="T21" s="157"/>
      <c r="U21" s="172"/>
      <c r="V21" s="172"/>
      <c r="W21" s="166">
        <f>_xlfn.XLOOKUP(CONCATENATE(C_Corrupción[[#This Row],[Momento de ejecución]],C_Corrupción[[#This Row],[Forma de ejecución]]),C_Atributos,C_Peso,"",0)</f>
        <v>0.3</v>
      </c>
      <c r="X21" s="87" t="str">
        <f>IFERROR(_xlfn.XLOOKUP(C_Corrupción[[#This Row],[Momento de ejecución]],C_Momento,C_Efecto,,0),"")</f>
        <v>Probabilidad</v>
      </c>
      <c r="Y21" s="167">
        <f>IFERROR(IF(C_Corrupción[[#This Row],[Código riesgo]]&lt;&gt;C20,_xlfn.XLOOKUP(C_Corrupción[[#This Row],[Código riesgo]],R_Corrupción[Código riesgo],R_Corrupción[Pi %],,0)*IF(C_Corrupción[[#This Row],[Efecto]]="Probabilidad",1-C_Corrupción[[#This Row],[Peso]],1),IF(C_Corrupción[[#This Row],[Efecto]]="Probabilidad",Y20*(1-C_Corrupción[[#This Row],[Peso]]),Y20)),"")</f>
        <v>8.2319999999999977E-2</v>
      </c>
      <c r="Z21" s="168">
        <f>IFERROR(IF(C_Corrupción[[#This Row],[Código riesgo]]&lt;&gt;C20,_xlfn.XLOOKUP(C_Corrupción[[#This Row],[Código riesgo]],R_Corrupción[Código riesgo],R_Corrupción[Ii %],,0)*IF(C_Corrupción[[#This Row],[Efecto]]="Impacto",1-C_Corrupción[[#This Row],[Peso]],1),IF(C_Corrupción[[#This Row],[Efecto]]="Impacto",Z20*(1-C_Corrupción[[#This Row],[Peso]]),Z20)),"")</f>
        <v>1</v>
      </c>
    </row>
    <row r="22" spans="1:26" ht="66" x14ac:dyDescent="0.25">
      <c r="A22" s="163">
        <v>17</v>
      </c>
      <c r="B22" s="159" t="str">
        <f>Mapa_RC!$B$8</f>
        <v>Direccionamiento estratégico</v>
      </c>
      <c r="C22" s="169" t="str">
        <f>Mapa_RC!C$8</f>
        <v>DIR-C2</v>
      </c>
      <c r="D22" s="165" t="s">
        <v>66</v>
      </c>
      <c r="E22" s="165"/>
      <c r="F22" s="165" t="s">
        <v>68</v>
      </c>
      <c r="G22" s="165"/>
      <c r="H22" s="80" t="s">
        <v>418</v>
      </c>
      <c r="I22" s="87" t="str">
        <f>IF(C_Corrupción[[#This Row],[Responsable de ejecutar]]&lt;&gt;"",CONCATENATE(C_Corrupción[[#This Row],[Código riesgo]],"-",IF(C_Corrupción[[#This Row],[Código riesgo]]&lt;&gt;C21,1,RIGHT(I21,1)+1)),"")</f>
        <v>DIR-C2-5</v>
      </c>
      <c r="J22" s="157" t="s">
        <v>401</v>
      </c>
      <c r="K22" s="157" t="s">
        <v>419</v>
      </c>
      <c r="L22" s="157" t="s">
        <v>420</v>
      </c>
      <c r="M22" s="87" t="s">
        <v>23</v>
      </c>
      <c r="N22" s="87" t="s">
        <v>30</v>
      </c>
      <c r="O22" s="87" t="s">
        <v>109</v>
      </c>
      <c r="P22" s="87" t="s">
        <v>115</v>
      </c>
      <c r="Q22" s="87" t="s">
        <v>404</v>
      </c>
      <c r="R22" s="87"/>
      <c r="S22" s="157"/>
      <c r="T22" s="157"/>
      <c r="U22" s="172"/>
      <c r="V22" s="172"/>
      <c r="W22" s="166">
        <f>_xlfn.XLOOKUP(CONCATENATE(C_Corrupción[[#This Row],[Momento de ejecución]],C_Corrupción[[#This Row],[Forma de ejecución]]),C_Atributos,C_Peso,"",0)</f>
        <v>0.25</v>
      </c>
      <c r="X22" s="87" t="str">
        <f>IFERROR(_xlfn.XLOOKUP(C_Corrupción[[#This Row],[Momento de ejecución]],C_Momento,C_Efecto,,0),"")</f>
        <v>Impacto</v>
      </c>
      <c r="Y22" s="167">
        <f>IFERROR(IF(C_Corrupción[[#This Row],[Código riesgo]]&lt;&gt;C21,_xlfn.XLOOKUP(C_Corrupción[[#This Row],[Código riesgo]],R_Corrupción[Código riesgo],R_Corrupción[Pi %],,0)*IF(C_Corrupción[[#This Row],[Efecto]]="Probabilidad",1-C_Corrupción[[#This Row],[Peso]],1),IF(C_Corrupción[[#This Row],[Efecto]]="Probabilidad",Y21*(1-C_Corrupción[[#This Row],[Peso]]),Y21)),"")</f>
        <v>8.2319999999999977E-2</v>
      </c>
      <c r="Z22" s="168">
        <f>IFERROR(IF(C_Corrupción[[#This Row],[Código riesgo]]&lt;&gt;C21,_xlfn.XLOOKUP(C_Corrupción[[#This Row],[Código riesgo]],R_Corrupción[Código riesgo],R_Corrupción[Ii %],,0)*IF(C_Corrupción[[#This Row],[Efecto]]="Impacto",1-C_Corrupción[[#This Row],[Peso]],1),IF(C_Corrupción[[#This Row],[Efecto]]="Impacto",Z21*(1-C_Corrupción[[#This Row],[Peso]]),Z21)),"")</f>
        <v>0.75</v>
      </c>
    </row>
    <row r="23" spans="1:26" ht="33" x14ac:dyDescent="0.25">
      <c r="A23" s="163">
        <v>18</v>
      </c>
      <c r="B23" s="159" t="str">
        <f>Mapa_RC!$B$8</f>
        <v>Direccionamiento estratégico</v>
      </c>
      <c r="C23" s="169" t="str">
        <f>Mapa_RC!C$8</f>
        <v>DIR-C2</v>
      </c>
      <c r="D23" s="170" t="s">
        <v>378</v>
      </c>
      <c r="E23" s="170" t="s">
        <v>378</v>
      </c>
      <c r="F23" s="170" t="s">
        <v>378</v>
      </c>
      <c r="G23" s="164">
        <f>COUNTA(D18:G22)</f>
        <v>15</v>
      </c>
      <c r="H23" s="80"/>
      <c r="I23" s="87" t="str">
        <f>IF(C_Corrupción[[#This Row],[Responsable de ejecutar]]&lt;&gt;"",CONCATENATE(C_Corrupción[[#This Row],[Código riesgo]],"-",IF(C_Corrupción[[#This Row],[Código riesgo]]&lt;&gt;C22,1,RIGHT(I22,1)+1)),"")</f>
        <v/>
      </c>
      <c r="J23" s="157"/>
      <c r="K23" s="157"/>
      <c r="L23" s="157"/>
      <c r="M23" s="87"/>
      <c r="N23" s="87"/>
      <c r="O23" s="87"/>
      <c r="P23" s="87"/>
      <c r="Q23" s="87"/>
      <c r="R23" s="87"/>
      <c r="S23" s="157"/>
      <c r="T23" s="157"/>
      <c r="U23" s="172"/>
      <c r="V23" s="172"/>
      <c r="W23" s="166" t="str">
        <f>_xlfn.XLOOKUP(CONCATENATE(C_Corrupción[[#This Row],[Momento de ejecución]],C_Corrupción[[#This Row],[Forma de ejecución]]),C_Atributos,C_Peso,"",0)</f>
        <v/>
      </c>
      <c r="X23" s="87" t="str">
        <f>IFERROR(_xlfn.XLOOKUP(C_Corrupción[[#This Row],[Momento de ejecución]],C_Momento,C_Efecto,,0),"")</f>
        <v/>
      </c>
      <c r="Y23" s="167">
        <f>IFERROR(IF(C_Corrupción[[#This Row],[Código riesgo]]&lt;&gt;C22,_xlfn.XLOOKUP(C_Corrupción[[#This Row],[Código riesgo]],R_Corrupción[Código riesgo],R_Corrupción[Pi %],,0)*IF(C_Corrupción[[#This Row],[Efecto]]="Probabilidad",1-C_Corrupción[[#This Row],[Peso]],1),IF(C_Corrupción[[#This Row],[Efecto]]="Probabilidad",Y22*(1-C_Corrupción[[#This Row],[Peso]]),Y22)),"")</f>
        <v>8.2319999999999977E-2</v>
      </c>
      <c r="Z23" s="168">
        <f>IFERROR(IF(C_Corrupción[[#This Row],[Código riesgo]]&lt;&gt;C22,_xlfn.XLOOKUP(C_Corrupción[[#This Row],[Código riesgo]],R_Corrupción[Código riesgo],R_Corrupción[Ii %],,0)*IF(C_Corrupción[[#This Row],[Efecto]]="Impacto",1-C_Corrupción[[#This Row],[Peso]],1),IF(C_Corrupción[[#This Row],[Efecto]]="Impacto",Z22*(1-C_Corrupción[[#This Row],[Peso]]),Z22)),"")</f>
        <v>0.75</v>
      </c>
    </row>
    <row r="24" spans="1:26" ht="165" x14ac:dyDescent="0.25">
      <c r="A24" s="163">
        <v>19</v>
      </c>
      <c r="B24" s="159" t="str">
        <f>Mapa_RC!$B$9</f>
        <v>Información y comunicación</v>
      </c>
      <c r="C24" s="164" t="str">
        <f>Mapa_RC!C$9</f>
        <v>COM-C1</v>
      </c>
      <c r="D24" s="165" t="s">
        <v>50</v>
      </c>
      <c r="E24" s="165" t="s">
        <v>51</v>
      </c>
      <c r="F24" s="165" t="s">
        <v>365</v>
      </c>
      <c r="G24" s="165" t="s">
        <v>53</v>
      </c>
      <c r="H24" s="80" t="s">
        <v>421</v>
      </c>
      <c r="I24" s="87" t="str">
        <f>IF(C_Corrupción[[#This Row],[Responsable de ejecutar]]&lt;&gt;"",CONCATENATE(C_Corrupción[[#This Row],[Código riesgo]],"-",IF(C_Corrupción[[#This Row],[Código riesgo]]&lt;&gt;C23,1,RIGHT(I23,1)+1)),"")</f>
        <v>COM-C1-1</v>
      </c>
      <c r="J24" s="157" t="s">
        <v>422</v>
      </c>
      <c r="K24" s="157" t="s">
        <v>423</v>
      </c>
      <c r="L24" s="157" t="s">
        <v>424</v>
      </c>
      <c r="M24" s="87" t="s">
        <v>17</v>
      </c>
      <c r="N24" s="87" t="s">
        <v>30</v>
      </c>
      <c r="O24" s="87" t="s">
        <v>425</v>
      </c>
      <c r="P24" s="87" t="s">
        <v>131</v>
      </c>
      <c r="Q24" s="87" t="s">
        <v>426</v>
      </c>
      <c r="R24" s="87" t="s">
        <v>212</v>
      </c>
      <c r="S24" s="157" t="s">
        <v>427</v>
      </c>
      <c r="T24" s="157" t="s">
        <v>387</v>
      </c>
      <c r="U24" s="172">
        <v>45505</v>
      </c>
      <c r="V24" s="172">
        <v>45625</v>
      </c>
      <c r="W24" s="166">
        <f>_xlfn.XLOOKUP(CONCATENATE(C_Corrupción[[#This Row],[Momento de ejecución]],C_Corrupción[[#This Row],[Forma de ejecución]]),C_Atributos,C_Peso,"",0)</f>
        <v>0.4</v>
      </c>
      <c r="X24" s="87" t="str">
        <f>IFERROR(_xlfn.XLOOKUP(C_Corrupción[[#This Row],[Momento de ejecución]],C_Momento,C_Efecto,,0),"")</f>
        <v>Probabilidad</v>
      </c>
      <c r="Y24" s="167">
        <f>IFERROR(IF(C_Corrupción[[#This Row],[Código riesgo]]&lt;&gt;C23,_xlfn.XLOOKUP(C_Corrupción[[#This Row],[Código riesgo]],R_Corrupción[Código riesgo],R_Corrupción[Pi %],,0)*IF(C_Corrupción[[#This Row],[Efecto]]="Probabilidad",1-C_Corrupción[[#This Row],[Peso]],1),IF(C_Corrupción[[#This Row],[Efecto]]="Probabilidad",Y23*(1-C_Corrupción[[#This Row],[Peso]]),Y23)),"")</f>
        <v>0.36</v>
      </c>
      <c r="Z24" s="168">
        <f>IFERROR(IF(C_Corrupción[[#This Row],[Código riesgo]]&lt;&gt;C23,_xlfn.XLOOKUP(C_Corrupción[[#This Row],[Código riesgo]],R_Corrupción[Código riesgo],R_Corrupción[Ii %],,0)*IF(C_Corrupción[[#This Row],[Efecto]]="Impacto",1-C_Corrupción[[#This Row],[Peso]],1),IF(C_Corrupción[[#This Row],[Efecto]]="Impacto",Z23*(1-C_Corrupción[[#This Row],[Peso]]),Z23)),"")</f>
        <v>0.8</v>
      </c>
    </row>
    <row r="25" spans="1:26" ht="165" x14ac:dyDescent="0.25">
      <c r="A25" s="163">
        <v>20</v>
      </c>
      <c r="B25" s="159" t="str">
        <f>Mapa_RC!$B$9</f>
        <v>Información y comunicación</v>
      </c>
      <c r="C25" s="169" t="str">
        <f>Mapa_RC!C$9</f>
        <v>COM-C1</v>
      </c>
      <c r="D25" s="165" t="s">
        <v>54</v>
      </c>
      <c r="E25" s="165"/>
      <c r="F25" s="165" t="s">
        <v>56</v>
      </c>
      <c r="G25" s="165"/>
      <c r="H25" s="80" t="s">
        <v>428</v>
      </c>
      <c r="I25" s="87" t="str">
        <f>IF(C_Corrupción[[#This Row],[Responsable de ejecutar]]&lt;&gt;"",CONCATENATE(C_Corrupción[[#This Row],[Código riesgo]],"-",IF(C_Corrupción[[#This Row],[Código riesgo]]&lt;&gt;C24,1,RIGHT(I24,1)+1)),"")</f>
        <v>COM-C1-2</v>
      </c>
      <c r="J25" s="157" t="s">
        <v>429</v>
      </c>
      <c r="K25" s="157" t="s">
        <v>430</v>
      </c>
      <c r="L25" s="157" t="s">
        <v>431</v>
      </c>
      <c r="M25" s="87" t="s">
        <v>17</v>
      </c>
      <c r="N25" s="87" t="s">
        <v>30</v>
      </c>
      <c r="O25" s="87" t="s">
        <v>425</v>
      </c>
      <c r="P25" s="87" t="s">
        <v>131</v>
      </c>
      <c r="Q25" s="87" t="s">
        <v>426</v>
      </c>
      <c r="R25" s="87"/>
      <c r="S25" s="157"/>
      <c r="T25" s="157"/>
      <c r="U25" s="172"/>
      <c r="V25" s="172"/>
      <c r="W25" s="166">
        <f>_xlfn.XLOOKUP(CONCATENATE(C_Corrupción[[#This Row],[Momento de ejecución]],C_Corrupción[[#This Row],[Forma de ejecución]]),C_Atributos,C_Peso,"",0)</f>
        <v>0.4</v>
      </c>
      <c r="X25" s="87" t="str">
        <f>IFERROR(_xlfn.XLOOKUP(C_Corrupción[[#This Row],[Momento de ejecución]],C_Momento,C_Efecto,,0),"")</f>
        <v>Probabilidad</v>
      </c>
      <c r="Y25" s="167">
        <f>IFERROR(IF(C_Corrupción[[#This Row],[Código riesgo]]&lt;&gt;C24,_xlfn.XLOOKUP(C_Corrupción[[#This Row],[Código riesgo]],R_Corrupción[Código riesgo],R_Corrupción[Pi %],,0)*IF(C_Corrupción[[#This Row],[Efecto]]="Probabilidad",1-C_Corrupción[[#This Row],[Peso]],1),IF(C_Corrupción[[#This Row],[Efecto]]="Probabilidad",Y24*(1-C_Corrupción[[#This Row],[Peso]]),Y24)),"")</f>
        <v>0.216</v>
      </c>
      <c r="Z25" s="168">
        <f>IFERROR(IF(C_Corrupción[[#This Row],[Código riesgo]]&lt;&gt;C24,_xlfn.XLOOKUP(C_Corrupción[[#This Row],[Código riesgo]],R_Corrupción[Código riesgo],R_Corrupción[Ii %],,0)*IF(C_Corrupción[[#This Row],[Efecto]]="Impacto",1-C_Corrupción[[#This Row],[Peso]],1),IF(C_Corrupción[[#This Row],[Efecto]]="Impacto",Z24*(1-C_Corrupción[[#This Row],[Peso]]),Z24)),"")</f>
        <v>0.8</v>
      </c>
    </row>
    <row r="26" spans="1:26" ht="165" x14ac:dyDescent="0.25">
      <c r="A26" s="163">
        <v>21</v>
      </c>
      <c r="B26" s="159" t="str">
        <f>Mapa_RC!$B$9</f>
        <v>Información y comunicación</v>
      </c>
      <c r="C26" s="169" t="str">
        <f>Mapa_RC!C$9</f>
        <v>COM-C1</v>
      </c>
      <c r="D26" s="165" t="s">
        <v>58</v>
      </c>
      <c r="E26" s="165" t="s">
        <v>59</v>
      </c>
      <c r="F26" s="165" t="s">
        <v>60</v>
      </c>
      <c r="G26" s="165"/>
      <c r="H26" s="80" t="s">
        <v>432</v>
      </c>
      <c r="I26" s="87" t="str">
        <f>IF(C_Corrupción[[#This Row],[Responsable de ejecutar]]&lt;&gt;"",CONCATENATE(C_Corrupción[[#This Row],[Código riesgo]],"-",IF(C_Corrupción[[#This Row],[Código riesgo]]&lt;&gt;C25,1,RIGHT(I25,1)+1)),"")</f>
        <v>COM-C1-3</v>
      </c>
      <c r="J26" s="157" t="s">
        <v>429</v>
      </c>
      <c r="K26" s="157" t="s">
        <v>433</v>
      </c>
      <c r="L26" s="157" t="s">
        <v>434</v>
      </c>
      <c r="M26" s="87" t="s">
        <v>17</v>
      </c>
      <c r="N26" s="87" t="s">
        <v>30</v>
      </c>
      <c r="O26" s="87" t="s">
        <v>425</v>
      </c>
      <c r="P26" s="87" t="s">
        <v>131</v>
      </c>
      <c r="Q26" s="87" t="s">
        <v>426</v>
      </c>
      <c r="R26" s="87"/>
      <c r="S26" s="157"/>
      <c r="T26" s="157"/>
      <c r="U26" s="172"/>
      <c r="V26" s="172"/>
      <c r="W26" s="166">
        <f>_xlfn.XLOOKUP(CONCATENATE(C_Corrupción[[#This Row],[Momento de ejecución]],C_Corrupción[[#This Row],[Forma de ejecución]]),C_Atributos,C_Peso,"",0)</f>
        <v>0.4</v>
      </c>
      <c r="X26" s="87" t="str">
        <f>IFERROR(_xlfn.XLOOKUP(C_Corrupción[[#This Row],[Momento de ejecución]],C_Momento,C_Efecto,,0),"")</f>
        <v>Probabilidad</v>
      </c>
      <c r="Y26" s="167">
        <f>IFERROR(IF(C_Corrupción[[#This Row],[Código riesgo]]&lt;&gt;C25,_xlfn.XLOOKUP(C_Corrupción[[#This Row],[Código riesgo]],R_Corrupción[Código riesgo],R_Corrupción[Pi %],,0)*IF(C_Corrupción[[#This Row],[Efecto]]="Probabilidad",1-C_Corrupción[[#This Row],[Peso]],1),IF(C_Corrupción[[#This Row],[Efecto]]="Probabilidad",Y25*(1-C_Corrupción[[#This Row],[Peso]]),Y25)),"")</f>
        <v>0.12959999999999999</v>
      </c>
      <c r="Z26" s="168">
        <f>IFERROR(IF(C_Corrupción[[#This Row],[Código riesgo]]&lt;&gt;C25,_xlfn.XLOOKUP(C_Corrupción[[#This Row],[Código riesgo]],R_Corrupción[Código riesgo],R_Corrupción[Ii %],,0)*IF(C_Corrupción[[#This Row],[Efecto]]="Impacto",1-C_Corrupción[[#This Row],[Peso]],1),IF(C_Corrupción[[#This Row],[Efecto]]="Impacto",Z25*(1-C_Corrupción[[#This Row],[Peso]]),Z25)),"")</f>
        <v>0.8</v>
      </c>
    </row>
    <row r="27" spans="1:26" ht="99" x14ac:dyDescent="0.25">
      <c r="A27" s="163">
        <v>22</v>
      </c>
      <c r="B27" s="159" t="str">
        <f>Mapa_RC!$B$9</f>
        <v>Información y comunicación</v>
      </c>
      <c r="C27" s="169" t="str">
        <f>Mapa_RC!C$9</f>
        <v>COM-C1</v>
      </c>
      <c r="D27" s="165"/>
      <c r="E27" s="165"/>
      <c r="F27" s="165" t="s">
        <v>64</v>
      </c>
      <c r="G27" s="165"/>
      <c r="H27" s="80" t="s">
        <v>435</v>
      </c>
      <c r="I27" s="87" t="str">
        <f>IF(C_Corrupción[[#This Row],[Responsable de ejecutar]]&lt;&gt;"",CONCATENATE(C_Corrupción[[#This Row],[Código riesgo]],"-",IF(C_Corrupción[[#This Row],[Código riesgo]]&lt;&gt;C26,1,RIGHT(I26,1)+1)),"")</f>
        <v>COM-C1-4</v>
      </c>
      <c r="J27" s="157" t="s">
        <v>373</v>
      </c>
      <c r="K27" s="157" t="s">
        <v>374</v>
      </c>
      <c r="L27" s="157" t="s">
        <v>375</v>
      </c>
      <c r="M27" s="87" t="s">
        <v>23</v>
      </c>
      <c r="N27" s="87" t="s">
        <v>30</v>
      </c>
      <c r="O27" s="87" t="s">
        <v>376</v>
      </c>
      <c r="P27" s="87" t="s">
        <v>115</v>
      </c>
      <c r="Q27" s="87" t="s">
        <v>377</v>
      </c>
      <c r="R27" s="87"/>
      <c r="S27" s="157"/>
      <c r="T27" s="157"/>
      <c r="U27" s="172"/>
      <c r="V27" s="172"/>
      <c r="W27" s="166">
        <f>_xlfn.XLOOKUP(CONCATENATE(C_Corrupción[[#This Row],[Momento de ejecución]],C_Corrupción[[#This Row],[Forma de ejecución]]),C_Atributos,C_Peso,"",0)</f>
        <v>0.25</v>
      </c>
      <c r="X27" s="87" t="str">
        <f>IFERROR(_xlfn.XLOOKUP(C_Corrupción[[#This Row],[Momento de ejecución]],C_Momento,C_Efecto,,0),"")</f>
        <v>Impacto</v>
      </c>
      <c r="Y27" s="167">
        <f>IFERROR(IF(C_Corrupción[[#This Row],[Código riesgo]]&lt;&gt;C26,_xlfn.XLOOKUP(C_Corrupción[[#This Row],[Código riesgo]],R_Corrupción[Código riesgo],R_Corrupción[Pi %],,0)*IF(C_Corrupción[[#This Row],[Efecto]]="Probabilidad",1-C_Corrupción[[#This Row],[Peso]],1),IF(C_Corrupción[[#This Row],[Efecto]]="Probabilidad",Y26*(1-C_Corrupción[[#This Row],[Peso]]),Y26)),"")</f>
        <v>0.12959999999999999</v>
      </c>
      <c r="Z27" s="168">
        <f>IFERROR(IF(C_Corrupción[[#This Row],[Código riesgo]]&lt;&gt;C26,_xlfn.XLOOKUP(C_Corrupción[[#This Row],[Código riesgo]],R_Corrupción[Código riesgo],R_Corrupción[Ii %],,0)*IF(C_Corrupción[[#This Row],[Efecto]]="Impacto",1-C_Corrupción[[#This Row],[Peso]],1),IF(C_Corrupción[[#This Row],[Efecto]]="Impacto",Z26*(1-C_Corrupción[[#This Row],[Peso]]),Z26)),"")</f>
        <v>0.60000000000000009</v>
      </c>
    </row>
    <row r="28" spans="1:26" ht="33" x14ac:dyDescent="0.25">
      <c r="A28" s="163">
        <v>23</v>
      </c>
      <c r="B28" s="159" t="str">
        <f>Mapa_RC!$B$9</f>
        <v>Información y comunicación</v>
      </c>
      <c r="C28" s="169" t="str">
        <f>Mapa_RC!C$9</f>
        <v>COM-C1</v>
      </c>
      <c r="D28" s="165"/>
      <c r="E28" s="165"/>
      <c r="F28" s="165" t="s">
        <v>68</v>
      </c>
      <c r="G28" s="165"/>
      <c r="H28" s="80"/>
      <c r="I28" s="87" t="str">
        <f>IF(C_Corrupción[[#This Row],[Responsable de ejecutar]]&lt;&gt;"",CONCATENATE(C_Corrupción[[#This Row],[Código riesgo]],"-",IF(C_Corrupción[[#This Row],[Código riesgo]]&lt;&gt;C27,1,RIGHT(I27,1)+1)),"")</f>
        <v/>
      </c>
      <c r="J28" s="157"/>
      <c r="K28" s="157"/>
      <c r="L28" s="157"/>
      <c r="M28" s="87"/>
      <c r="N28" s="87"/>
      <c r="O28" s="87"/>
      <c r="P28" s="87"/>
      <c r="Q28" s="87"/>
      <c r="R28" s="87"/>
      <c r="S28" s="157"/>
      <c r="T28" s="157"/>
      <c r="U28" s="172"/>
      <c r="V28" s="172"/>
      <c r="W28" s="166" t="str">
        <f>_xlfn.XLOOKUP(CONCATENATE(C_Corrupción[[#This Row],[Momento de ejecución]],C_Corrupción[[#This Row],[Forma de ejecución]]),C_Atributos,C_Peso,"",0)</f>
        <v/>
      </c>
      <c r="X28" s="87" t="str">
        <f>IFERROR(_xlfn.XLOOKUP(C_Corrupción[[#This Row],[Momento de ejecución]],C_Momento,C_Efecto,,0),"")</f>
        <v/>
      </c>
      <c r="Y28" s="167">
        <f>IFERROR(IF(C_Corrupción[[#This Row],[Código riesgo]]&lt;&gt;C27,_xlfn.XLOOKUP(C_Corrupción[[#This Row],[Código riesgo]],R_Corrupción[Código riesgo],R_Corrupción[Pi %],,0)*IF(C_Corrupción[[#This Row],[Efecto]]="Probabilidad",1-C_Corrupción[[#This Row],[Peso]],1),IF(C_Corrupción[[#This Row],[Efecto]]="Probabilidad",Y27*(1-C_Corrupción[[#This Row],[Peso]]),Y27)),"")</f>
        <v>0.12959999999999999</v>
      </c>
      <c r="Z28" s="168">
        <f>IFERROR(IF(C_Corrupción[[#This Row],[Código riesgo]]&lt;&gt;C27,_xlfn.XLOOKUP(C_Corrupción[[#This Row],[Código riesgo]],R_Corrupción[Código riesgo],R_Corrupción[Ii %],,0)*IF(C_Corrupción[[#This Row],[Efecto]]="Impacto",1-C_Corrupción[[#This Row],[Peso]],1),IF(C_Corrupción[[#This Row],[Efecto]]="Impacto",Z27*(1-C_Corrupción[[#This Row],[Peso]]),Z27)),"")</f>
        <v>0.60000000000000009</v>
      </c>
    </row>
    <row r="29" spans="1:26" ht="33" x14ac:dyDescent="0.25">
      <c r="A29" s="163">
        <v>24</v>
      </c>
      <c r="B29" s="159" t="str">
        <f>Mapa_RC!$B$9</f>
        <v>Información y comunicación</v>
      </c>
      <c r="C29" s="169" t="str">
        <f>Mapa_RC!C$9</f>
        <v>COM-C1</v>
      </c>
      <c r="D29" s="170" t="s">
        <v>378</v>
      </c>
      <c r="E29" s="170" t="s">
        <v>378</v>
      </c>
      <c r="F29" s="170" t="s">
        <v>378</v>
      </c>
      <c r="G29" s="164">
        <f>COUNTA(D24:G28)</f>
        <v>11</v>
      </c>
      <c r="H29" s="80"/>
      <c r="I29" s="87" t="str">
        <f>IF(C_Corrupción[[#This Row],[Responsable de ejecutar]]&lt;&gt;"",CONCATENATE(C_Corrupción[[#This Row],[Código riesgo]],"-",IF(C_Corrupción[[#This Row],[Código riesgo]]&lt;&gt;C28,1,RIGHT(I28,1)+1)),"")</f>
        <v/>
      </c>
      <c r="J29" s="157"/>
      <c r="K29" s="157"/>
      <c r="L29" s="157"/>
      <c r="M29" s="87"/>
      <c r="N29" s="87"/>
      <c r="O29" s="87"/>
      <c r="P29" s="87"/>
      <c r="Q29" s="87"/>
      <c r="R29" s="87"/>
      <c r="S29" s="157"/>
      <c r="T29" s="157"/>
      <c r="U29" s="172"/>
      <c r="V29" s="172"/>
      <c r="W29" s="166" t="str">
        <f>_xlfn.XLOOKUP(CONCATENATE(C_Corrupción[[#This Row],[Momento de ejecución]],C_Corrupción[[#This Row],[Forma de ejecución]]),C_Atributos,C_Peso,"",0)</f>
        <v/>
      </c>
      <c r="X29" s="87" t="str">
        <f>IFERROR(_xlfn.XLOOKUP(C_Corrupción[[#This Row],[Momento de ejecución]],C_Momento,C_Efecto,,0),"")</f>
        <v/>
      </c>
      <c r="Y29" s="167">
        <f>IFERROR(IF(C_Corrupción[[#This Row],[Código riesgo]]&lt;&gt;C28,_xlfn.XLOOKUP(C_Corrupción[[#This Row],[Código riesgo]],R_Corrupción[Código riesgo],R_Corrupción[Pi %],,0)*IF(C_Corrupción[[#This Row],[Efecto]]="Probabilidad",1-C_Corrupción[[#This Row],[Peso]],1),IF(C_Corrupción[[#This Row],[Efecto]]="Probabilidad",Y28*(1-C_Corrupción[[#This Row],[Peso]]),Y28)),"")</f>
        <v>0.12959999999999999</v>
      </c>
      <c r="Z29" s="168">
        <f>IFERROR(IF(C_Corrupción[[#This Row],[Código riesgo]]&lt;&gt;C28,_xlfn.XLOOKUP(C_Corrupción[[#This Row],[Código riesgo]],R_Corrupción[Código riesgo],R_Corrupción[Ii %],,0)*IF(C_Corrupción[[#This Row],[Efecto]]="Impacto",1-C_Corrupción[[#This Row],[Peso]],1),IF(C_Corrupción[[#This Row],[Efecto]]="Impacto",Z28*(1-C_Corrupción[[#This Row],[Peso]]),Z28)),"")</f>
        <v>0.60000000000000009</v>
      </c>
    </row>
    <row r="30" spans="1:26" ht="99" x14ac:dyDescent="0.25">
      <c r="A30" s="163">
        <v>25</v>
      </c>
      <c r="B30" s="159" t="str">
        <f>Mapa_RC!$B$10</f>
        <v>Formación</v>
      </c>
      <c r="C30" s="164" t="str">
        <f>Mapa_RC!C$10</f>
        <v>FOR-C1</v>
      </c>
      <c r="D30" s="165" t="s">
        <v>50</v>
      </c>
      <c r="E30" s="165"/>
      <c r="F30" s="165" t="s">
        <v>365</v>
      </c>
      <c r="G30" s="165" t="s">
        <v>53</v>
      </c>
      <c r="H30" s="80" t="s">
        <v>436</v>
      </c>
      <c r="I30" s="87" t="str">
        <f>IF(C_Corrupción[[#This Row],[Responsable de ejecutar]]&lt;&gt;"",CONCATENATE(C_Corrupción[[#This Row],[Código riesgo]],"-",IF(C_Corrupción[[#This Row],[Código riesgo]]&lt;&gt;C29,1,RIGHT(I29,1)+1)),"")</f>
        <v>FOR-C1-1</v>
      </c>
      <c r="J30" s="157" t="s">
        <v>437</v>
      </c>
      <c r="K30" s="157" t="s">
        <v>438</v>
      </c>
      <c r="L30" s="157" t="s">
        <v>694</v>
      </c>
      <c r="M30" s="87" t="s">
        <v>17</v>
      </c>
      <c r="N30" s="87" t="s">
        <v>30</v>
      </c>
      <c r="O30" s="87" t="s">
        <v>439</v>
      </c>
      <c r="P30" s="87" t="s">
        <v>440</v>
      </c>
      <c r="Q30" s="87" t="s">
        <v>441</v>
      </c>
      <c r="R30" s="87" t="s">
        <v>212</v>
      </c>
      <c r="S30" s="157" t="s">
        <v>442</v>
      </c>
      <c r="T30" s="157" t="s">
        <v>443</v>
      </c>
      <c r="U30" s="172">
        <v>45566</v>
      </c>
      <c r="V30" s="172">
        <v>45657</v>
      </c>
      <c r="W30" s="166">
        <f>_xlfn.XLOOKUP(CONCATENATE(C_Corrupción[[#This Row],[Momento de ejecución]],C_Corrupción[[#This Row],[Forma de ejecución]]),C_Atributos,C_Peso,"",0)</f>
        <v>0.4</v>
      </c>
      <c r="X30" s="87" t="str">
        <f>IFERROR(_xlfn.XLOOKUP(C_Corrupción[[#This Row],[Momento de ejecución]],C_Momento,C_Efecto,,0),"")</f>
        <v>Probabilidad</v>
      </c>
      <c r="Y30" s="167">
        <f>IFERROR(IF(C_Corrupción[[#This Row],[Código riesgo]]&lt;&gt;C29,_xlfn.XLOOKUP(C_Corrupción[[#This Row],[Código riesgo]],R_Corrupción[Código riesgo],R_Corrupción[Pi %],,0)*IF(C_Corrupción[[#This Row],[Efecto]]="Probabilidad",1-C_Corrupción[[#This Row],[Peso]],1),IF(C_Corrupción[[#This Row],[Efecto]]="Probabilidad",Y29*(1-C_Corrupción[[#This Row],[Peso]]),Y29)),"")</f>
        <v>0.36</v>
      </c>
      <c r="Z30" s="168">
        <f>IFERROR(IF(C_Corrupción[[#This Row],[Código riesgo]]&lt;&gt;C29,_xlfn.XLOOKUP(C_Corrupción[[#This Row],[Código riesgo]],R_Corrupción[Código riesgo],R_Corrupción[Ii %],,0)*IF(C_Corrupción[[#This Row],[Efecto]]="Impacto",1-C_Corrupción[[#This Row],[Peso]],1),IF(C_Corrupción[[#This Row],[Efecto]]="Impacto",Z29*(1-C_Corrupción[[#This Row],[Peso]]),Z29)),"")</f>
        <v>0.8</v>
      </c>
    </row>
    <row r="31" spans="1:26" ht="99" x14ac:dyDescent="0.25">
      <c r="A31" s="163">
        <v>26</v>
      </c>
      <c r="B31" s="159" t="str">
        <f>Mapa_RC!$B$10</f>
        <v>Formación</v>
      </c>
      <c r="C31" s="169" t="str">
        <f>Mapa_RC!C$10</f>
        <v>FOR-C1</v>
      </c>
      <c r="D31" s="165" t="s">
        <v>54</v>
      </c>
      <c r="E31" s="165"/>
      <c r="F31" s="165" t="s">
        <v>56</v>
      </c>
      <c r="G31" s="165"/>
      <c r="H31" s="80" t="s">
        <v>444</v>
      </c>
      <c r="I31" s="87" t="str">
        <f>IF(C_Corrupción[[#This Row],[Responsable de ejecutar]]&lt;&gt;"",CONCATENATE(C_Corrupción[[#This Row],[Código riesgo]],"-",IF(C_Corrupción[[#This Row],[Código riesgo]]&lt;&gt;C30,1,RIGHT(I30,1)+1)),"")</f>
        <v>FOR-C1-2</v>
      </c>
      <c r="J31" s="157" t="s">
        <v>445</v>
      </c>
      <c r="K31" s="157" t="s">
        <v>446</v>
      </c>
      <c r="L31" s="157" t="s">
        <v>447</v>
      </c>
      <c r="M31" s="87" t="s">
        <v>20</v>
      </c>
      <c r="N31" s="87" t="s">
        <v>30</v>
      </c>
      <c r="O31" s="87" t="s">
        <v>439</v>
      </c>
      <c r="P31" s="87" t="s">
        <v>440</v>
      </c>
      <c r="Q31" s="87" t="s">
        <v>441</v>
      </c>
      <c r="R31" s="87"/>
      <c r="S31" s="157"/>
      <c r="T31" s="157"/>
      <c r="U31" s="172"/>
      <c r="V31" s="172"/>
      <c r="W31" s="166">
        <f>_xlfn.XLOOKUP(CONCATENATE(C_Corrupción[[#This Row],[Momento de ejecución]],C_Corrupción[[#This Row],[Forma de ejecución]]),C_Atributos,C_Peso,"",0)</f>
        <v>0.3</v>
      </c>
      <c r="X31" s="87" t="str">
        <f>IFERROR(_xlfn.XLOOKUP(C_Corrupción[[#This Row],[Momento de ejecución]],C_Momento,C_Efecto,,0),"")</f>
        <v>Probabilidad</v>
      </c>
      <c r="Y31" s="167">
        <f>IFERROR(IF(C_Corrupción[[#This Row],[Código riesgo]]&lt;&gt;C30,_xlfn.XLOOKUP(C_Corrupción[[#This Row],[Código riesgo]],R_Corrupción[Código riesgo],R_Corrupción[Pi %],,0)*IF(C_Corrupción[[#This Row],[Efecto]]="Probabilidad",1-C_Corrupción[[#This Row],[Peso]],1),IF(C_Corrupción[[#This Row],[Efecto]]="Probabilidad",Y30*(1-C_Corrupción[[#This Row],[Peso]]),Y30)),"")</f>
        <v>0.252</v>
      </c>
      <c r="Z31" s="168">
        <f>IFERROR(IF(C_Corrupción[[#This Row],[Código riesgo]]&lt;&gt;C30,_xlfn.XLOOKUP(C_Corrupción[[#This Row],[Código riesgo]],R_Corrupción[Código riesgo],R_Corrupción[Ii %],,0)*IF(C_Corrupción[[#This Row],[Efecto]]="Impacto",1-C_Corrupción[[#This Row],[Peso]],1),IF(C_Corrupción[[#This Row],[Efecto]]="Impacto",Z30*(1-C_Corrupción[[#This Row],[Peso]]),Z30)),"")</f>
        <v>0.8</v>
      </c>
    </row>
    <row r="32" spans="1:26" ht="82.5" x14ac:dyDescent="0.25">
      <c r="A32" s="163">
        <v>27</v>
      </c>
      <c r="B32" s="159" t="str">
        <f>Mapa_RC!$B$10</f>
        <v>Formación</v>
      </c>
      <c r="C32" s="169" t="str">
        <f>Mapa_RC!C$10</f>
        <v>FOR-C1</v>
      </c>
      <c r="D32" s="165" t="s">
        <v>58</v>
      </c>
      <c r="E32" s="165" t="s">
        <v>59</v>
      </c>
      <c r="F32" s="165" t="s">
        <v>60</v>
      </c>
      <c r="G32" s="165"/>
      <c r="H32" s="80" t="s">
        <v>448</v>
      </c>
      <c r="I32" s="87" t="str">
        <f>IF(C_Corrupción[[#This Row],[Responsable de ejecutar]]&lt;&gt;"",CONCATENATE(C_Corrupción[[#This Row],[Código riesgo]],"-",IF(C_Corrupción[[#This Row],[Código riesgo]]&lt;&gt;C31,1,RIGHT(I31,1)+1)),"")</f>
        <v>FOR-C1-3</v>
      </c>
      <c r="J32" s="157" t="s">
        <v>449</v>
      </c>
      <c r="K32" s="157" t="s">
        <v>450</v>
      </c>
      <c r="L32" s="157" t="s">
        <v>451</v>
      </c>
      <c r="M32" s="87" t="s">
        <v>23</v>
      </c>
      <c r="N32" s="87" t="s">
        <v>30</v>
      </c>
      <c r="O32" s="87" t="s">
        <v>109</v>
      </c>
      <c r="P32" s="87" t="s">
        <v>115</v>
      </c>
      <c r="Q32" s="87" t="s">
        <v>452</v>
      </c>
      <c r="R32" s="87"/>
      <c r="S32" s="157"/>
      <c r="T32" s="157"/>
      <c r="U32" s="172"/>
      <c r="V32" s="172"/>
      <c r="W32" s="166">
        <f>_xlfn.XLOOKUP(CONCATENATE(C_Corrupción[[#This Row],[Momento de ejecución]],C_Corrupción[[#This Row],[Forma de ejecución]]),C_Atributos,C_Peso,"",0)</f>
        <v>0.25</v>
      </c>
      <c r="X32" s="87" t="str">
        <f>IFERROR(_xlfn.XLOOKUP(C_Corrupción[[#This Row],[Momento de ejecución]],C_Momento,C_Efecto,,0),"")</f>
        <v>Impacto</v>
      </c>
      <c r="Y32" s="167">
        <f>IFERROR(IF(C_Corrupción[[#This Row],[Código riesgo]]&lt;&gt;C31,_xlfn.XLOOKUP(C_Corrupción[[#This Row],[Código riesgo]],R_Corrupción[Código riesgo],R_Corrupción[Pi %],,0)*IF(C_Corrupción[[#This Row],[Efecto]]="Probabilidad",1-C_Corrupción[[#This Row],[Peso]],1),IF(C_Corrupción[[#This Row],[Efecto]]="Probabilidad",Y31*(1-C_Corrupción[[#This Row],[Peso]]),Y31)),"")</f>
        <v>0.252</v>
      </c>
      <c r="Z32" s="168">
        <f>IFERROR(IF(C_Corrupción[[#This Row],[Código riesgo]]&lt;&gt;C31,_xlfn.XLOOKUP(C_Corrupción[[#This Row],[Código riesgo]],R_Corrupción[Código riesgo],R_Corrupción[Ii %],,0)*IF(C_Corrupción[[#This Row],[Efecto]]="Impacto",1-C_Corrupción[[#This Row],[Peso]],1),IF(C_Corrupción[[#This Row],[Efecto]]="Impacto",Z31*(1-C_Corrupción[[#This Row],[Peso]]),Z31)),"")</f>
        <v>0.60000000000000009</v>
      </c>
    </row>
    <row r="33" spans="1:53" ht="99" x14ac:dyDescent="0.25">
      <c r="A33" s="163">
        <v>28</v>
      </c>
      <c r="B33" s="159" t="str">
        <f>Mapa_RC!$B$10</f>
        <v>Formación</v>
      </c>
      <c r="C33" s="169" t="str">
        <f>Mapa_RC!C$10</f>
        <v>FOR-C1</v>
      </c>
      <c r="D33" s="165"/>
      <c r="E33" s="165"/>
      <c r="F33" s="165"/>
      <c r="G33" s="165"/>
      <c r="H33" s="80" t="s">
        <v>453</v>
      </c>
      <c r="I33" s="87" t="str">
        <f>IF(C_Corrupción[[#This Row],[Responsable de ejecutar]]&lt;&gt;"",CONCATENATE(C_Corrupción[[#This Row],[Código riesgo]],"-",IF(C_Corrupción[[#This Row],[Código riesgo]]&lt;&gt;C32,1,RIGHT(I32,1)+1)),"")</f>
        <v>FOR-C1-4</v>
      </c>
      <c r="J33" s="157" t="s">
        <v>454</v>
      </c>
      <c r="K33" s="157" t="s">
        <v>455</v>
      </c>
      <c r="L33" s="157" t="s">
        <v>456</v>
      </c>
      <c r="M33" s="87" t="s">
        <v>23</v>
      </c>
      <c r="N33" s="87" t="s">
        <v>30</v>
      </c>
      <c r="O33" s="87" t="s">
        <v>109</v>
      </c>
      <c r="P33" s="87" t="s">
        <v>115</v>
      </c>
      <c r="Q33" s="87" t="s">
        <v>452</v>
      </c>
      <c r="R33" s="87"/>
      <c r="S33" s="157"/>
      <c r="T33" s="157"/>
      <c r="U33" s="172"/>
      <c r="V33" s="172"/>
      <c r="W33" s="166">
        <f>_xlfn.XLOOKUP(CONCATENATE(C_Corrupción[[#This Row],[Momento de ejecución]],C_Corrupción[[#This Row],[Forma de ejecución]]),C_Atributos,C_Peso,"",0)</f>
        <v>0.25</v>
      </c>
      <c r="X33" s="87" t="str">
        <f>IFERROR(_xlfn.XLOOKUP(C_Corrupción[[#This Row],[Momento de ejecución]],C_Momento,C_Efecto,,0),"")</f>
        <v>Impacto</v>
      </c>
      <c r="Y33" s="167">
        <f>IFERROR(IF(C_Corrupción[[#This Row],[Código riesgo]]&lt;&gt;C32,_xlfn.XLOOKUP(C_Corrupción[[#This Row],[Código riesgo]],R_Corrupción[Código riesgo],R_Corrupción[Pi %],,0)*IF(C_Corrupción[[#This Row],[Efecto]]="Probabilidad",1-C_Corrupción[[#This Row],[Peso]],1),IF(C_Corrupción[[#This Row],[Efecto]]="Probabilidad",Y32*(1-C_Corrupción[[#This Row],[Peso]]),Y32)),"")</f>
        <v>0.252</v>
      </c>
      <c r="Z33" s="168">
        <f>IFERROR(IF(C_Corrupción[[#This Row],[Código riesgo]]&lt;&gt;C32,_xlfn.XLOOKUP(C_Corrupción[[#This Row],[Código riesgo]],R_Corrupción[Código riesgo],R_Corrupción[Ii %],,0)*IF(C_Corrupción[[#This Row],[Efecto]]="Impacto",1-C_Corrupción[[#This Row],[Peso]],1),IF(C_Corrupción[[#This Row],[Efecto]]="Impacto",Z32*(1-C_Corrupción[[#This Row],[Peso]]),Z32)),"")</f>
        <v>0.45000000000000007</v>
      </c>
    </row>
    <row r="34" spans="1:53" ht="33" x14ac:dyDescent="0.25">
      <c r="A34" s="163">
        <v>29</v>
      </c>
      <c r="B34" s="159" t="str">
        <f>Mapa_RC!$B$10</f>
        <v>Formación</v>
      </c>
      <c r="C34" s="169" t="str">
        <f>Mapa_RC!C$10</f>
        <v>FOR-C1</v>
      </c>
      <c r="D34" s="165" t="s">
        <v>66</v>
      </c>
      <c r="E34" s="165"/>
      <c r="F34" s="165"/>
      <c r="G34" s="165"/>
      <c r="H34" s="80"/>
      <c r="I34" s="87" t="str">
        <f>IF(C_Corrupción[[#This Row],[Responsable de ejecutar]]&lt;&gt;"",CONCATENATE(C_Corrupción[[#This Row],[Código riesgo]],"-",IF(C_Corrupción[[#This Row],[Código riesgo]]&lt;&gt;C33,1,RIGHT(I33,1)+1)),"")</f>
        <v/>
      </c>
      <c r="J34" s="157"/>
      <c r="K34" s="157"/>
      <c r="L34" s="157"/>
      <c r="M34" s="87"/>
      <c r="N34" s="87"/>
      <c r="O34" s="87"/>
      <c r="P34" s="87"/>
      <c r="Q34" s="87"/>
      <c r="R34" s="87"/>
      <c r="S34" s="157"/>
      <c r="T34" s="157"/>
      <c r="U34" s="172"/>
      <c r="V34" s="172"/>
      <c r="W34" s="166" t="str">
        <f>_xlfn.XLOOKUP(CONCATENATE(C_Corrupción[[#This Row],[Momento de ejecución]],C_Corrupción[[#This Row],[Forma de ejecución]]),C_Atributos,C_Peso,"",0)</f>
        <v/>
      </c>
      <c r="X34" s="87" t="str">
        <f>IFERROR(_xlfn.XLOOKUP(C_Corrupción[[#This Row],[Momento de ejecución]],C_Momento,C_Efecto,,0),"")</f>
        <v/>
      </c>
      <c r="Y34" s="167">
        <f>IFERROR(IF(C_Corrupción[[#This Row],[Código riesgo]]&lt;&gt;C33,_xlfn.XLOOKUP(C_Corrupción[[#This Row],[Código riesgo]],R_Corrupción[Código riesgo],R_Corrupción[Pi %],,0)*IF(C_Corrupción[[#This Row],[Efecto]]="Probabilidad",1-C_Corrupción[[#This Row],[Peso]],1),IF(C_Corrupción[[#This Row],[Efecto]]="Probabilidad",Y33*(1-C_Corrupción[[#This Row],[Peso]]),Y33)),"")</f>
        <v>0.252</v>
      </c>
      <c r="Z34" s="168">
        <f>IFERROR(IF(C_Corrupción[[#This Row],[Código riesgo]]&lt;&gt;C33,_xlfn.XLOOKUP(C_Corrupción[[#This Row],[Código riesgo]],R_Corrupción[Código riesgo],R_Corrupción[Ii %],,0)*IF(C_Corrupción[[#This Row],[Efecto]]="Impacto",1-C_Corrupción[[#This Row],[Peso]],1),IF(C_Corrupción[[#This Row],[Efecto]]="Impacto",Z33*(1-C_Corrupción[[#This Row],[Peso]]),Z33)),"")</f>
        <v>0.45000000000000007</v>
      </c>
    </row>
    <row r="35" spans="1:53" x14ac:dyDescent="0.25">
      <c r="A35" s="163">
        <v>30</v>
      </c>
      <c r="B35" s="159" t="str">
        <f>Mapa_RC!$B$10</f>
        <v>Formación</v>
      </c>
      <c r="C35" s="169" t="str">
        <f>Mapa_RC!C$10</f>
        <v>FOR-C1</v>
      </c>
      <c r="D35" s="170" t="s">
        <v>378</v>
      </c>
      <c r="E35" s="170" t="s">
        <v>378</v>
      </c>
      <c r="F35" s="170" t="s">
        <v>378</v>
      </c>
      <c r="G35" s="164">
        <f>COUNTA(D30:G34)</f>
        <v>9</v>
      </c>
      <c r="H35" s="80"/>
      <c r="I35" s="87" t="str">
        <f>IF(C_Corrupción[[#This Row],[Responsable de ejecutar]]&lt;&gt;"",CONCATENATE(C_Corrupción[[#This Row],[Código riesgo]],"-",IF(C_Corrupción[[#This Row],[Código riesgo]]&lt;&gt;C34,1,RIGHT(I34,1)+1)),"")</f>
        <v/>
      </c>
      <c r="J35" s="157"/>
      <c r="K35" s="157"/>
      <c r="L35" s="157"/>
      <c r="M35" s="87"/>
      <c r="N35" s="87"/>
      <c r="O35" s="87"/>
      <c r="P35" s="87"/>
      <c r="Q35" s="87"/>
      <c r="R35" s="87"/>
      <c r="S35" s="157"/>
      <c r="T35" s="157"/>
      <c r="U35" s="172"/>
      <c r="V35" s="172"/>
      <c r="W35" s="166" t="str">
        <f>_xlfn.XLOOKUP(CONCATENATE(C_Corrupción[[#This Row],[Momento de ejecución]],C_Corrupción[[#This Row],[Forma de ejecución]]),C_Atributos,C_Peso,"",0)</f>
        <v/>
      </c>
      <c r="X35" s="87" t="str">
        <f>IFERROR(_xlfn.XLOOKUP(C_Corrupción[[#This Row],[Momento de ejecución]],C_Momento,C_Efecto,,0),"")</f>
        <v/>
      </c>
      <c r="Y35" s="167">
        <f>IFERROR(IF(C_Corrupción[[#This Row],[Código riesgo]]&lt;&gt;C34,_xlfn.XLOOKUP(C_Corrupción[[#This Row],[Código riesgo]],R_Corrupción[Código riesgo],R_Corrupción[Pi %],,0)*IF(C_Corrupción[[#This Row],[Efecto]]="Probabilidad",1-C_Corrupción[[#This Row],[Peso]],1),IF(C_Corrupción[[#This Row],[Efecto]]="Probabilidad",Y34*(1-C_Corrupción[[#This Row],[Peso]]),Y34)),"")</f>
        <v>0.252</v>
      </c>
      <c r="Z35" s="168">
        <f>IFERROR(IF(C_Corrupción[[#This Row],[Código riesgo]]&lt;&gt;C34,_xlfn.XLOOKUP(C_Corrupción[[#This Row],[Código riesgo]],R_Corrupción[Código riesgo],R_Corrupción[Ii %],,0)*IF(C_Corrupción[[#This Row],[Efecto]]="Impacto",1-C_Corrupción[[#This Row],[Peso]],1),IF(C_Corrupción[[#This Row],[Efecto]]="Impacto",Z34*(1-C_Corrupción[[#This Row],[Peso]]),Z34)),"")</f>
        <v>0.45000000000000007</v>
      </c>
    </row>
    <row r="36" spans="1:53" ht="82.5" x14ac:dyDescent="0.25">
      <c r="A36" s="163">
        <v>31</v>
      </c>
      <c r="B36" s="159" t="str">
        <f>Mapa_RC!$B$11</f>
        <v>Control Disciplinario</v>
      </c>
      <c r="C36" s="164" t="str">
        <f>Mapa_RC!C$11</f>
        <v>DISC-C1</v>
      </c>
      <c r="D36" s="165" t="s">
        <v>50</v>
      </c>
      <c r="E36" s="165" t="s">
        <v>51</v>
      </c>
      <c r="F36" s="165" t="s">
        <v>365</v>
      </c>
      <c r="G36" s="165" t="s">
        <v>53</v>
      </c>
      <c r="H36" s="80" t="s">
        <v>457</v>
      </c>
      <c r="I36" s="87" t="str">
        <f>IF(C_Corrupción[[#This Row],[Responsable de ejecutar]]&lt;&gt;"",CONCATENATE(C_Corrupción[[#This Row],[Código riesgo]],"-",IF(C_Corrupción[[#This Row],[Código riesgo]]&lt;&gt;C35,1,RIGHT(I35,1)+1)),"")</f>
        <v>DISC-C1-1</v>
      </c>
      <c r="J36" s="157" t="s">
        <v>458</v>
      </c>
      <c r="K36" s="157" t="s">
        <v>459</v>
      </c>
      <c r="L36" s="157" t="s">
        <v>460</v>
      </c>
      <c r="M36" s="87" t="s">
        <v>17</v>
      </c>
      <c r="N36" s="87" t="s">
        <v>30</v>
      </c>
      <c r="O36" s="87" t="s">
        <v>376</v>
      </c>
      <c r="P36" s="87" t="s">
        <v>115</v>
      </c>
      <c r="Q36" s="87" t="s">
        <v>377</v>
      </c>
      <c r="R36" s="87"/>
      <c r="S36" s="157"/>
      <c r="T36" s="157"/>
      <c r="U36" s="172"/>
      <c r="V36" s="172"/>
      <c r="W36" s="166">
        <f>_xlfn.XLOOKUP(CONCATENATE(C_Corrupción[[#This Row],[Momento de ejecución]],C_Corrupción[[#This Row],[Forma de ejecución]]),C_Atributos,C_Peso,"",0)</f>
        <v>0.4</v>
      </c>
      <c r="X36" s="87" t="str">
        <f>IFERROR(_xlfn.XLOOKUP(C_Corrupción[[#This Row],[Momento de ejecución]],C_Momento,C_Efecto,,0),"")</f>
        <v>Probabilidad</v>
      </c>
      <c r="Y36" s="167">
        <f>IFERROR(IF(C_Corrupción[[#This Row],[Código riesgo]]&lt;&gt;C35,_xlfn.XLOOKUP(C_Corrupción[[#This Row],[Código riesgo]],R_Corrupción[Código riesgo],R_Corrupción[Pi %],,0)*IF(C_Corrupción[[#This Row],[Efecto]]="Probabilidad",1-C_Corrupción[[#This Row],[Peso]],1),IF(C_Corrupción[[#This Row],[Efecto]]="Probabilidad",Y35*(1-C_Corrupción[[#This Row],[Peso]]),Y35)),"")</f>
        <v>0.36</v>
      </c>
      <c r="Z36" s="168">
        <f>IFERROR(IF(C_Corrupción[[#This Row],[Código riesgo]]&lt;&gt;C35,_xlfn.XLOOKUP(C_Corrupción[[#This Row],[Código riesgo]],R_Corrupción[Código riesgo],R_Corrupción[Ii %],,0)*IF(C_Corrupción[[#This Row],[Efecto]]="Impacto",1-C_Corrupción[[#This Row],[Peso]],1),IF(C_Corrupción[[#This Row],[Efecto]]="Impacto",Z35*(1-C_Corrupción[[#This Row],[Peso]]),Z35)),"")</f>
        <v>1</v>
      </c>
    </row>
    <row r="37" spans="1:53" ht="66" x14ac:dyDescent="0.25">
      <c r="A37" s="163">
        <v>32</v>
      </c>
      <c r="B37" s="159" t="str">
        <f>Mapa_RC!$B$11</f>
        <v>Control Disciplinario</v>
      </c>
      <c r="C37" s="169" t="str">
        <f>Mapa_RC!C$11</f>
        <v>DISC-C1</v>
      </c>
      <c r="D37" s="165" t="s">
        <v>54</v>
      </c>
      <c r="E37" s="165" t="s">
        <v>55</v>
      </c>
      <c r="F37" s="165" t="s">
        <v>56</v>
      </c>
      <c r="G37" s="165" t="s">
        <v>57</v>
      </c>
      <c r="H37" s="80" t="s">
        <v>461</v>
      </c>
      <c r="I37" s="87" t="str">
        <f>IF(C_Corrupción[[#This Row],[Responsable de ejecutar]]&lt;&gt;"",CONCATENATE(C_Corrupción[[#This Row],[Código riesgo]],"-",IF(C_Corrupción[[#This Row],[Código riesgo]]&lt;&gt;C36,1,RIGHT(I36,1)+1)),"")</f>
        <v>DISC-C1-2</v>
      </c>
      <c r="J37" s="157" t="s">
        <v>462</v>
      </c>
      <c r="K37" s="157" t="s">
        <v>463</v>
      </c>
      <c r="L37" s="157" t="s">
        <v>464</v>
      </c>
      <c r="M37" s="87" t="s">
        <v>20</v>
      </c>
      <c r="N37" s="87" t="s">
        <v>30</v>
      </c>
      <c r="O37" s="87" t="s">
        <v>376</v>
      </c>
      <c r="P37" s="87" t="s">
        <v>115</v>
      </c>
      <c r="Q37" s="87" t="s">
        <v>377</v>
      </c>
      <c r="R37" s="87"/>
      <c r="S37" s="157"/>
      <c r="T37" s="157"/>
      <c r="U37" s="172"/>
      <c r="V37" s="172"/>
      <c r="W37" s="166">
        <f>_xlfn.XLOOKUP(CONCATENATE(C_Corrupción[[#This Row],[Momento de ejecución]],C_Corrupción[[#This Row],[Forma de ejecución]]),C_Atributos,C_Peso,"",0)</f>
        <v>0.3</v>
      </c>
      <c r="X37" s="87" t="str">
        <f>IFERROR(_xlfn.XLOOKUP(C_Corrupción[[#This Row],[Momento de ejecución]],C_Momento,C_Efecto,,0),"")</f>
        <v>Probabilidad</v>
      </c>
      <c r="Y37" s="167">
        <f>IFERROR(IF(C_Corrupción[[#This Row],[Código riesgo]]&lt;&gt;C36,_xlfn.XLOOKUP(C_Corrupción[[#This Row],[Código riesgo]],R_Corrupción[Código riesgo],R_Corrupción[Pi %],,0)*IF(C_Corrupción[[#This Row],[Efecto]]="Probabilidad",1-C_Corrupción[[#This Row],[Peso]],1),IF(C_Corrupción[[#This Row],[Efecto]]="Probabilidad",Y36*(1-C_Corrupción[[#This Row],[Peso]]),Y36)),"")</f>
        <v>0.252</v>
      </c>
      <c r="Z37" s="168">
        <f>IFERROR(IF(C_Corrupción[[#This Row],[Código riesgo]]&lt;&gt;C36,_xlfn.XLOOKUP(C_Corrupción[[#This Row],[Código riesgo]],R_Corrupción[Código riesgo],R_Corrupción[Ii %],,0)*IF(C_Corrupción[[#This Row],[Efecto]]="Impacto",1-C_Corrupción[[#This Row],[Peso]],1),IF(C_Corrupción[[#This Row],[Efecto]]="Impacto",Z36*(1-C_Corrupción[[#This Row],[Peso]]),Z36)),"")</f>
        <v>1</v>
      </c>
    </row>
    <row r="38" spans="1:53" ht="99" x14ac:dyDescent="0.25">
      <c r="A38" s="163">
        <v>33</v>
      </c>
      <c r="B38" s="159" t="str">
        <f>Mapa_RC!$B$11</f>
        <v>Control Disciplinario</v>
      </c>
      <c r="C38" s="169" t="str">
        <f>Mapa_RC!C$11</f>
        <v>DISC-C1</v>
      </c>
      <c r="D38" s="165" t="s">
        <v>58</v>
      </c>
      <c r="E38" s="165" t="s">
        <v>59</v>
      </c>
      <c r="F38" s="165" t="s">
        <v>60</v>
      </c>
      <c r="G38" s="165"/>
      <c r="H38" s="80" t="s">
        <v>465</v>
      </c>
      <c r="I38" s="87" t="str">
        <f>IF(C_Corrupción[[#This Row],[Responsable de ejecutar]]&lt;&gt;"",CONCATENATE(C_Corrupción[[#This Row],[Código riesgo]],"-",IF(C_Corrupción[[#This Row],[Código riesgo]]&lt;&gt;C37,1,RIGHT(I37,1)+1)),"")</f>
        <v>DISC-C1-3</v>
      </c>
      <c r="J38" s="157" t="s">
        <v>373</v>
      </c>
      <c r="K38" s="157" t="s">
        <v>374</v>
      </c>
      <c r="L38" s="157" t="s">
        <v>375</v>
      </c>
      <c r="M38" s="87" t="s">
        <v>23</v>
      </c>
      <c r="N38" s="87" t="s">
        <v>30</v>
      </c>
      <c r="O38" s="87" t="s">
        <v>376</v>
      </c>
      <c r="P38" s="87" t="s">
        <v>115</v>
      </c>
      <c r="Q38" s="87" t="s">
        <v>377</v>
      </c>
      <c r="R38" s="87"/>
      <c r="S38" s="157"/>
      <c r="T38" s="157"/>
      <c r="U38" s="172"/>
      <c r="V38" s="172"/>
      <c r="W38" s="166">
        <f>_xlfn.XLOOKUP(CONCATENATE(C_Corrupción[[#This Row],[Momento de ejecución]],C_Corrupción[[#This Row],[Forma de ejecución]]),C_Atributos,C_Peso,"",0)</f>
        <v>0.25</v>
      </c>
      <c r="X38" s="87" t="str">
        <f>IFERROR(_xlfn.XLOOKUP(C_Corrupción[[#This Row],[Momento de ejecución]],C_Momento,C_Efecto,,0),"")</f>
        <v>Impacto</v>
      </c>
      <c r="Y38" s="167">
        <f>IFERROR(IF(C_Corrupción[[#This Row],[Código riesgo]]&lt;&gt;C37,_xlfn.XLOOKUP(C_Corrupción[[#This Row],[Código riesgo]],R_Corrupción[Código riesgo],R_Corrupción[Pi %],,0)*IF(C_Corrupción[[#This Row],[Efecto]]="Probabilidad",1-C_Corrupción[[#This Row],[Peso]],1),IF(C_Corrupción[[#This Row],[Efecto]]="Probabilidad",Y37*(1-C_Corrupción[[#This Row],[Peso]]),Y37)),"")</f>
        <v>0.252</v>
      </c>
      <c r="Z38" s="168">
        <f>IFERROR(IF(C_Corrupción[[#This Row],[Código riesgo]]&lt;&gt;C37,_xlfn.XLOOKUP(C_Corrupción[[#This Row],[Código riesgo]],R_Corrupción[Código riesgo],R_Corrupción[Ii %],,0)*IF(C_Corrupción[[#This Row],[Efecto]]="Impacto",1-C_Corrupción[[#This Row],[Peso]],1),IF(C_Corrupción[[#This Row],[Efecto]]="Impacto",Z37*(1-C_Corrupción[[#This Row],[Peso]]),Z37)),"")</f>
        <v>0.75</v>
      </c>
    </row>
    <row r="39" spans="1:53" ht="33" x14ac:dyDescent="0.25">
      <c r="A39" s="163">
        <v>34</v>
      </c>
      <c r="B39" s="159" t="str">
        <f>Mapa_RC!$B$11</f>
        <v>Control Disciplinario</v>
      </c>
      <c r="C39" s="169" t="str">
        <f>Mapa_RC!C$11</f>
        <v>DISC-C1</v>
      </c>
      <c r="D39" s="165"/>
      <c r="E39" s="165"/>
      <c r="F39" s="165" t="s">
        <v>64</v>
      </c>
      <c r="G39" s="165"/>
      <c r="H39" s="80"/>
      <c r="I39" s="87" t="str">
        <f>IF(C_Corrupción[[#This Row],[Responsable de ejecutar]]&lt;&gt;"",CONCATENATE(C_Corrupción[[#This Row],[Código riesgo]],"-",IF(C_Corrupción[[#This Row],[Código riesgo]]&lt;&gt;C38,1,RIGHT(I38,1)+1)),"")</f>
        <v/>
      </c>
      <c r="J39" s="157"/>
      <c r="K39" s="157"/>
      <c r="L39" s="157"/>
      <c r="M39" s="87"/>
      <c r="N39" s="87"/>
      <c r="O39" s="87"/>
      <c r="P39" s="87"/>
      <c r="Q39" s="87"/>
      <c r="R39" s="87"/>
      <c r="S39" s="157"/>
      <c r="T39" s="157"/>
      <c r="U39" s="172"/>
      <c r="V39" s="172"/>
      <c r="W39" s="166" t="str">
        <f>_xlfn.XLOOKUP(CONCATENATE(C_Corrupción[[#This Row],[Momento de ejecución]],C_Corrupción[[#This Row],[Forma de ejecución]]),C_Atributos,C_Peso,"",0)</f>
        <v/>
      </c>
      <c r="X39" s="87" t="str">
        <f>IFERROR(_xlfn.XLOOKUP(C_Corrupción[[#This Row],[Momento de ejecución]],C_Momento,C_Efecto,,0),"")</f>
        <v/>
      </c>
      <c r="Y39" s="167">
        <f>IFERROR(IF(C_Corrupción[[#This Row],[Código riesgo]]&lt;&gt;C38,_xlfn.XLOOKUP(C_Corrupción[[#This Row],[Código riesgo]],R_Corrupción[Código riesgo],R_Corrupción[Pi %],,0)*IF(C_Corrupción[[#This Row],[Efecto]]="Probabilidad",1-C_Corrupción[[#This Row],[Peso]],1),IF(C_Corrupción[[#This Row],[Efecto]]="Probabilidad",Y38*(1-C_Corrupción[[#This Row],[Peso]]),Y38)),"")</f>
        <v>0.252</v>
      </c>
      <c r="Z39" s="168">
        <f>IFERROR(IF(C_Corrupción[[#This Row],[Código riesgo]]&lt;&gt;C38,_xlfn.XLOOKUP(C_Corrupción[[#This Row],[Código riesgo]],R_Corrupción[Código riesgo],R_Corrupción[Ii %],,0)*IF(C_Corrupción[[#This Row],[Efecto]]="Impacto",1-C_Corrupción[[#This Row],[Peso]],1),IF(C_Corrupción[[#This Row],[Efecto]]="Impacto",Z38*(1-C_Corrupción[[#This Row],[Peso]]),Z38)),"")</f>
        <v>0.75</v>
      </c>
    </row>
    <row r="40" spans="1:53" ht="33" x14ac:dyDescent="0.25">
      <c r="A40" s="163">
        <v>35</v>
      </c>
      <c r="B40" s="159" t="str">
        <f>Mapa_RC!$B$11</f>
        <v>Control Disciplinario</v>
      </c>
      <c r="C40" s="169" t="str">
        <f>Mapa_RC!C$11</f>
        <v>DISC-C1</v>
      </c>
      <c r="D40" s="165"/>
      <c r="E40" s="165"/>
      <c r="F40" s="165" t="s">
        <v>68</v>
      </c>
      <c r="G40" s="165"/>
      <c r="H40" s="80"/>
      <c r="I40" s="87" t="str">
        <f>IF(C_Corrupción[[#This Row],[Responsable de ejecutar]]&lt;&gt;"",CONCATENATE(C_Corrupción[[#This Row],[Código riesgo]],"-",IF(C_Corrupción[[#This Row],[Código riesgo]]&lt;&gt;C39,1,RIGHT(I39,1)+1)),"")</f>
        <v/>
      </c>
      <c r="J40" s="157"/>
      <c r="K40" s="157"/>
      <c r="L40" s="157"/>
      <c r="M40" s="87"/>
      <c r="N40" s="87"/>
      <c r="O40" s="87"/>
      <c r="P40" s="87"/>
      <c r="Q40" s="87"/>
      <c r="R40" s="87"/>
      <c r="S40" s="157"/>
      <c r="T40" s="157"/>
      <c r="U40" s="172"/>
      <c r="V40" s="172"/>
      <c r="W40" s="166" t="str">
        <f>_xlfn.XLOOKUP(CONCATENATE(C_Corrupción[[#This Row],[Momento de ejecución]],C_Corrupción[[#This Row],[Forma de ejecución]]),C_Atributos,C_Peso,"",0)</f>
        <v/>
      </c>
      <c r="X40" s="87" t="str">
        <f>IFERROR(_xlfn.XLOOKUP(C_Corrupción[[#This Row],[Momento de ejecución]],C_Momento,C_Efecto,,0),"")</f>
        <v/>
      </c>
      <c r="Y40" s="167">
        <f>IFERROR(IF(C_Corrupción[[#This Row],[Código riesgo]]&lt;&gt;C39,_xlfn.XLOOKUP(C_Corrupción[[#This Row],[Código riesgo]],R_Corrupción[Código riesgo],R_Corrupción[Pi %],,0)*IF(C_Corrupción[[#This Row],[Efecto]]="Probabilidad",1-C_Corrupción[[#This Row],[Peso]],1),IF(C_Corrupción[[#This Row],[Efecto]]="Probabilidad",Y39*(1-C_Corrupción[[#This Row],[Peso]]),Y39)),"")</f>
        <v>0.252</v>
      </c>
      <c r="Z40" s="168">
        <f>IFERROR(IF(C_Corrupción[[#This Row],[Código riesgo]]&lt;&gt;C39,_xlfn.XLOOKUP(C_Corrupción[[#This Row],[Código riesgo]],R_Corrupción[Código riesgo],R_Corrupción[Ii %],,0)*IF(C_Corrupción[[#This Row],[Efecto]]="Impacto",1-C_Corrupción[[#This Row],[Peso]],1),IF(C_Corrupción[[#This Row],[Efecto]]="Impacto",Z39*(1-C_Corrupción[[#This Row],[Peso]]),Z39)),"")</f>
        <v>0.75</v>
      </c>
    </row>
    <row r="41" spans="1:53" ht="33" x14ac:dyDescent="0.25">
      <c r="A41" s="163">
        <v>36</v>
      </c>
      <c r="B41" s="159" t="str">
        <f>Mapa_RC!$B$11</f>
        <v>Control Disciplinario</v>
      </c>
      <c r="C41" s="169" t="str">
        <f>Mapa_RC!C$11</f>
        <v>DISC-C1</v>
      </c>
      <c r="D41" s="170" t="s">
        <v>378</v>
      </c>
      <c r="E41" s="170" t="s">
        <v>378</v>
      </c>
      <c r="F41" s="170" t="s">
        <v>378</v>
      </c>
      <c r="G41" s="164">
        <f>COUNTA(D36:G40)</f>
        <v>13</v>
      </c>
      <c r="H41" s="80"/>
      <c r="I41" s="87" t="str">
        <f>IF(C_Corrupción[[#This Row],[Responsable de ejecutar]]&lt;&gt;"",CONCATENATE(C_Corrupción[[#This Row],[Código riesgo]],"-",IF(C_Corrupción[[#This Row],[Código riesgo]]&lt;&gt;C40,1,RIGHT(I40,1)+1)),"")</f>
        <v/>
      </c>
      <c r="J41" s="157"/>
      <c r="K41" s="157"/>
      <c r="L41" s="157"/>
      <c r="M41" s="87"/>
      <c r="N41" s="87"/>
      <c r="O41" s="87"/>
      <c r="P41" s="87"/>
      <c r="Q41" s="87"/>
      <c r="R41" s="87"/>
      <c r="S41" s="157"/>
      <c r="T41" s="157"/>
      <c r="U41" s="172"/>
      <c r="V41" s="172"/>
      <c r="W41" s="166" t="str">
        <f>_xlfn.XLOOKUP(CONCATENATE(C_Corrupción[[#This Row],[Momento de ejecución]],C_Corrupción[[#This Row],[Forma de ejecución]]),C_Atributos,C_Peso,"",0)</f>
        <v/>
      </c>
      <c r="X41" s="87" t="str">
        <f>IFERROR(_xlfn.XLOOKUP(C_Corrupción[[#This Row],[Momento de ejecución]],C_Momento,C_Efecto,,0),"")</f>
        <v/>
      </c>
      <c r="Y41" s="167">
        <f>IFERROR(IF(C_Corrupción[[#This Row],[Código riesgo]]&lt;&gt;C40,_xlfn.XLOOKUP(C_Corrupción[[#This Row],[Código riesgo]],R_Corrupción[Código riesgo],R_Corrupción[Pi %],,0)*IF(C_Corrupción[[#This Row],[Efecto]]="Probabilidad",1-C_Corrupción[[#This Row],[Peso]],1),IF(C_Corrupción[[#This Row],[Efecto]]="Probabilidad",Y40*(1-C_Corrupción[[#This Row],[Peso]]),Y40)),"")</f>
        <v>0.252</v>
      </c>
      <c r="Z41" s="168">
        <f>IFERROR(IF(C_Corrupción[[#This Row],[Código riesgo]]&lt;&gt;C40,_xlfn.XLOOKUP(C_Corrupción[[#This Row],[Código riesgo]],R_Corrupción[Código riesgo],R_Corrupción[Ii %],,0)*IF(C_Corrupción[[#This Row],[Efecto]]="Impacto",1-C_Corrupción[[#This Row],[Peso]],1),IF(C_Corrupción[[#This Row],[Efecto]]="Impacto",Z40*(1-C_Corrupción[[#This Row],[Peso]]),Z40)),"")</f>
        <v>0.75</v>
      </c>
    </row>
    <row r="42" spans="1:53" ht="66" x14ac:dyDescent="0.25">
      <c r="A42" s="163">
        <v>37</v>
      </c>
      <c r="B42" s="159" t="str">
        <f>Mapa_RC!$B$12</f>
        <v>Alianzas</v>
      </c>
      <c r="C42" s="164" t="str">
        <f>Mapa_RC!C$12</f>
        <v>ALI-C1</v>
      </c>
      <c r="D42" s="165" t="s">
        <v>50</v>
      </c>
      <c r="E42" s="165" t="s">
        <v>51</v>
      </c>
      <c r="F42" s="165" t="s">
        <v>365</v>
      </c>
      <c r="G42" s="165" t="s">
        <v>53</v>
      </c>
      <c r="H42" s="80" t="s">
        <v>466</v>
      </c>
      <c r="I42" s="87" t="str">
        <f>IF(C_Corrupción[[#This Row],[Responsable de ejecutar]]&lt;&gt;"",CONCATENATE(C_Corrupción[[#This Row],[Código riesgo]],"-",IF(C_Corrupción[[#This Row],[Código riesgo]]&lt;&gt;C41,1,RIGHT(I41,1)+1)),"")</f>
        <v>ALI-C1-1</v>
      </c>
      <c r="J42" s="157" t="s">
        <v>467</v>
      </c>
      <c r="K42" s="157" t="s">
        <v>468</v>
      </c>
      <c r="L42" s="157" t="s">
        <v>469</v>
      </c>
      <c r="M42" s="87" t="s">
        <v>17</v>
      </c>
      <c r="N42" s="87" t="s">
        <v>30</v>
      </c>
      <c r="O42" s="87" t="s">
        <v>470</v>
      </c>
      <c r="P42" s="87" t="s">
        <v>115</v>
      </c>
      <c r="Q42" s="87" t="s">
        <v>471</v>
      </c>
      <c r="R42" s="87" t="s">
        <v>212</v>
      </c>
      <c r="S42" s="157" t="s">
        <v>472</v>
      </c>
      <c r="T42" s="157" t="s">
        <v>467</v>
      </c>
      <c r="U42" s="172">
        <v>45323</v>
      </c>
      <c r="V42" s="172">
        <v>45657</v>
      </c>
      <c r="W42" s="166">
        <f>_xlfn.XLOOKUP(CONCATENATE(C_Corrupción[[#This Row],[Momento de ejecución]],C_Corrupción[[#This Row],[Forma de ejecución]]),C_Atributos,C_Peso,"",0)</f>
        <v>0.4</v>
      </c>
      <c r="X42" s="87" t="str">
        <f>IFERROR(_xlfn.XLOOKUP(C_Corrupción[[#This Row],[Momento de ejecución]],C_Momento,C_Efecto,,0),"")</f>
        <v>Probabilidad</v>
      </c>
      <c r="Y42" s="167">
        <f>IFERROR(IF(C_Corrupción[[#This Row],[Código riesgo]]&lt;&gt;C41,_xlfn.XLOOKUP(C_Corrupción[[#This Row],[Código riesgo]],R_Corrupción[Código riesgo],R_Corrupción[Pi %],,0)*IF(C_Corrupción[[#This Row],[Efecto]]="Probabilidad",1-C_Corrupción[[#This Row],[Peso]],1),IF(C_Corrupción[[#This Row],[Efecto]]="Probabilidad",Y41*(1-C_Corrupción[[#This Row],[Peso]]),Y41)),"")</f>
        <v>0.24</v>
      </c>
      <c r="Z42" s="168">
        <f>IFERROR(IF(C_Corrupción[[#This Row],[Código riesgo]]&lt;&gt;C41,_xlfn.XLOOKUP(C_Corrupción[[#This Row],[Código riesgo]],R_Corrupción[Código riesgo],R_Corrupción[Ii %],,0)*IF(C_Corrupción[[#This Row],[Efecto]]="Impacto",1-C_Corrupción[[#This Row],[Peso]],1),IF(C_Corrupción[[#This Row],[Efecto]]="Impacto",Z41*(1-C_Corrupción[[#This Row],[Peso]]),Z41)),"")</f>
        <v>1</v>
      </c>
      <c r="AM42" s="16"/>
      <c r="AN42" s="16"/>
      <c r="AO42" s="16"/>
      <c r="AP42" s="16"/>
      <c r="AQ42" s="16"/>
      <c r="AR42" s="16"/>
      <c r="AS42" s="16"/>
      <c r="AT42" s="16"/>
      <c r="AU42" s="16"/>
      <c r="AV42" s="16"/>
      <c r="AW42" s="16"/>
      <c r="AX42" s="16"/>
      <c r="AY42" s="16"/>
      <c r="AZ42" s="16"/>
      <c r="BA42" s="16"/>
    </row>
    <row r="43" spans="1:53" ht="66" x14ac:dyDescent="0.25">
      <c r="A43" s="163">
        <v>38</v>
      </c>
      <c r="B43" s="159" t="str">
        <f>Mapa_RC!$B$12</f>
        <v>Alianzas</v>
      </c>
      <c r="C43" s="169" t="str">
        <f>Mapa_RC!C$12</f>
        <v>ALI-C1</v>
      </c>
      <c r="D43" s="165" t="s">
        <v>54</v>
      </c>
      <c r="E43" s="165"/>
      <c r="F43" s="165" t="s">
        <v>56</v>
      </c>
      <c r="G43" s="165" t="s">
        <v>57</v>
      </c>
      <c r="H43" s="80" t="s">
        <v>473</v>
      </c>
      <c r="I43" s="87" t="str">
        <f>IF(C_Corrupción[[#This Row],[Responsable de ejecutar]]&lt;&gt;"",CONCATENATE(C_Corrupción[[#This Row],[Código riesgo]],"-",IF(C_Corrupción[[#This Row],[Código riesgo]]&lt;&gt;C42,1,RIGHT(I42,1)+1)),"")</f>
        <v>ALI-C1-2</v>
      </c>
      <c r="J43" s="157" t="s">
        <v>474</v>
      </c>
      <c r="K43" s="157" t="s">
        <v>475</v>
      </c>
      <c r="L43" s="157" t="s">
        <v>476</v>
      </c>
      <c r="M43" s="87" t="s">
        <v>20</v>
      </c>
      <c r="N43" s="87" t="s">
        <v>30</v>
      </c>
      <c r="O43" s="87" t="s">
        <v>470</v>
      </c>
      <c r="P43" s="87" t="s">
        <v>115</v>
      </c>
      <c r="Q43" s="87" t="s">
        <v>471</v>
      </c>
      <c r="R43" s="87"/>
      <c r="S43" s="157"/>
      <c r="T43" s="157"/>
      <c r="U43" s="172"/>
      <c r="V43" s="172"/>
      <c r="W43" s="166">
        <f>_xlfn.XLOOKUP(CONCATENATE(C_Corrupción[[#This Row],[Momento de ejecución]],C_Corrupción[[#This Row],[Forma de ejecución]]),C_Atributos,C_Peso,"",0)</f>
        <v>0.3</v>
      </c>
      <c r="X43" s="87" t="str">
        <f>IFERROR(_xlfn.XLOOKUP(C_Corrupción[[#This Row],[Momento de ejecución]],C_Momento,C_Efecto,,0),"")</f>
        <v>Probabilidad</v>
      </c>
      <c r="Y43" s="167">
        <f>IFERROR(IF(C_Corrupción[[#This Row],[Código riesgo]]&lt;&gt;C42,_xlfn.XLOOKUP(C_Corrupción[[#This Row],[Código riesgo]],R_Corrupción[Código riesgo],R_Corrupción[Pi %],,0)*IF(C_Corrupción[[#This Row],[Efecto]]="Probabilidad",1-C_Corrupción[[#This Row],[Peso]],1),IF(C_Corrupción[[#This Row],[Efecto]]="Probabilidad",Y42*(1-C_Corrupción[[#This Row],[Peso]]),Y42)),"")</f>
        <v>0.16799999999999998</v>
      </c>
      <c r="Z43" s="168">
        <f>IFERROR(IF(C_Corrupción[[#This Row],[Código riesgo]]&lt;&gt;C42,_xlfn.XLOOKUP(C_Corrupción[[#This Row],[Código riesgo]],R_Corrupción[Código riesgo],R_Corrupción[Ii %],,0)*IF(C_Corrupción[[#This Row],[Efecto]]="Impacto",1-C_Corrupción[[#This Row],[Peso]],1),IF(C_Corrupción[[#This Row],[Efecto]]="Impacto",Z42*(1-C_Corrupción[[#This Row],[Peso]]),Z42)),"")</f>
        <v>1</v>
      </c>
      <c r="AM43" s="16"/>
      <c r="AN43" s="16"/>
      <c r="AO43" s="16"/>
      <c r="AP43" s="16"/>
      <c r="AQ43" s="16"/>
      <c r="AR43" s="16"/>
      <c r="AS43" s="16"/>
      <c r="AT43" s="16"/>
      <c r="AU43" s="16"/>
      <c r="AV43" s="16"/>
      <c r="AW43" s="16"/>
      <c r="AX43" s="16"/>
      <c r="AY43" s="16"/>
      <c r="AZ43" s="16"/>
      <c r="BA43" s="16"/>
    </row>
    <row r="44" spans="1:53" ht="99" x14ac:dyDescent="0.25">
      <c r="A44" s="163">
        <v>39</v>
      </c>
      <c r="B44" s="159" t="str">
        <f>Mapa_RC!$B$12</f>
        <v>Alianzas</v>
      </c>
      <c r="C44" s="169" t="str">
        <f>Mapa_RC!C$12</f>
        <v>ALI-C1</v>
      </c>
      <c r="D44" s="165" t="s">
        <v>58</v>
      </c>
      <c r="E44" s="165"/>
      <c r="F44" s="165" t="s">
        <v>60</v>
      </c>
      <c r="G44" s="165" t="s">
        <v>61</v>
      </c>
      <c r="H44" s="80" t="s">
        <v>477</v>
      </c>
      <c r="I44" s="87" t="str">
        <f>IF(C_Corrupción[[#This Row],[Responsable de ejecutar]]&lt;&gt;"",CONCATENATE(C_Corrupción[[#This Row],[Código riesgo]],"-",IF(C_Corrupción[[#This Row],[Código riesgo]]&lt;&gt;C43,1,RIGHT(I43,1)+1)),"")</f>
        <v>ALI-C1-3</v>
      </c>
      <c r="J44" s="157" t="s">
        <v>373</v>
      </c>
      <c r="K44" s="157" t="s">
        <v>374</v>
      </c>
      <c r="L44" s="157" t="s">
        <v>375</v>
      </c>
      <c r="M44" s="87" t="s">
        <v>23</v>
      </c>
      <c r="N44" s="87" t="s">
        <v>30</v>
      </c>
      <c r="O44" s="87" t="s">
        <v>376</v>
      </c>
      <c r="P44" s="87" t="s">
        <v>115</v>
      </c>
      <c r="Q44" s="87" t="s">
        <v>377</v>
      </c>
      <c r="R44" s="87"/>
      <c r="S44" s="157"/>
      <c r="T44" s="157"/>
      <c r="U44" s="172"/>
      <c r="V44" s="172"/>
      <c r="W44" s="166">
        <f>_xlfn.XLOOKUP(CONCATENATE(C_Corrupción[[#This Row],[Momento de ejecución]],C_Corrupción[[#This Row],[Forma de ejecución]]),C_Atributos,C_Peso,"",0)</f>
        <v>0.25</v>
      </c>
      <c r="X44" s="87" t="str">
        <f>IFERROR(_xlfn.XLOOKUP(C_Corrupción[[#This Row],[Momento de ejecución]],C_Momento,C_Efecto,,0),"")</f>
        <v>Impacto</v>
      </c>
      <c r="Y44" s="167">
        <f>IFERROR(IF(C_Corrupción[[#This Row],[Código riesgo]]&lt;&gt;C43,_xlfn.XLOOKUP(C_Corrupción[[#This Row],[Código riesgo]],R_Corrupción[Código riesgo],R_Corrupción[Pi %],,0)*IF(C_Corrupción[[#This Row],[Efecto]]="Probabilidad",1-C_Corrupción[[#This Row],[Peso]],1),IF(C_Corrupción[[#This Row],[Efecto]]="Probabilidad",Y43*(1-C_Corrupción[[#This Row],[Peso]]),Y43)),"")</f>
        <v>0.16799999999999998</v>
      </c>
      <c r="Z44" s="168">
        <f>IFERROR(IF(C_Corrupción[[#This Row],[Código riesgo]]&lt;&gt;C43,_xlfn.XLOOKUP(C_Corrupción[[#This Row],[Código riesgo]],R_Corrupción[Código riesgo],R_Corrupción[Ii %],,0)*IF(C_Corrupción[[#This Row],[Efecto]]="Impacto",1-C_Corrupción[[#This Row],[Peso]],1),IF(C_Corrupción[[#This Row],[Efecto]]="Impacto",Z43*(1-C_Corrupción[[#This Row],[Peso]]),Z43)),"")</f>
        <v>0.75</v>
      </c>
      <c r="AM44" s="16"/>
      <c r="AN44" s="16"/>
      <c r="AO44" s="16"/>
      <c r="AP44" s="16"/>
      <c r="AQ44" s="16"/>
      <c r="AR44" s="16"/>
      <c r="AS44" s="16"/>
      <c r="AT44" s="16"/>
      <c r="AU44" s="16"/>
      <c r="AV44" s="16"/>
      <c r="AW44" s="16"/>
      <c r="AX44" s="16"/>
      <c r="AY44" s="16"/>
      <c r="AZ44" s="16"/>
      <c r="BA44" s="16"/>
    </row>
    <row r="45" spans="1:53" ht="33" x14ac:dyDescent="0.25">
      <c r="A45" s="163">
        <v>40</v>
      </c>
      <c r="B45" s="159" t="str">
        <f>Mapa_RC!$B$12</f>
        <v>Alianzas</v>
      </c>
      <c r="C45" s="169" t="str">
        <f>Mapa_RC!C$12</f>
        <v>ALI-C1</v>
      </c>
      <c r="D45" s="165" t="s">
        <v>398</v>
      </c>
      <c r="E45" s="165"/>
      <c r="F45" s="165" t="s">
        <v>64</v>
      </c>
      <c r="G45" s="165" t="s">
        <v>65</v>
      </c>
      <c r="H45" s="80"/>
      <c r="I45" s="87" t="str">
        <f>IF(C_Corrupción[[#This Row],[Responsable de ejecutar]]&lt;&gt;"",CONCATENATE(C_Corrupción[[#This Row],[Código riesgo]],"-",IF(C_Corrupción[[#This Row],[Código riesgo]]&lt;&gt;C44,1,RIGHT(I44,1)+1)),"")</f>
        <v/>
      </c>
      <c r="J45" s="157"/>
      <c r="K45" s="157"/>
      <c r="L45" s="157"/>
      <c r="M45" s="87"/>
      <c r="N45" s="87"/>
      <c r="O45" s="87"/>
      <c r="P45" s="87"/>
      <c r="Q45" s="87"/>
      <c r="R45" s="87"/>
      <c r="S45" s="157"/>
      <c r="T45" s="157"/>
      <c r="U45" s="172"/>
      <c r="V45" s="172"/>
      <c r="W45" s="166" t="str">
        <f>_xlfn.XLOOKUP(CONCATENATE(C_Corrupción[[#This Row],[Momento de ejecución]],C_Corrupción[[#This Row],[Forma de ejecución]]),C_Atributos,C_Peso,"",0)</f>
        <v/>
      </c>
      <c r="X45" s="87" t="str">
        <f>IFERROR(_xlfn.XLOOKUP(C_Corrupción[[#This Row],[Momento de ejecución]],C_Momento,C_Efecto,,0),"")</f>
        <v/>
      </c>
      <c r="Y45" s="167">
        <f>IFERROR(IF(C_Corrupción[[#This Row],[Código riesgo]]&lt;&gt;C44,_xlfn.XLOOKUP(C_Corrupción[[#This Row],[Código riesgo]],R_Corrupción[Código riesgo],R_Corrupción[Pi %],,0)*IF(C_Corrupción[[#This Row],[Efecto]]="Probabilidad",1-C_Corrupción[[#This Row],[Peso]],1),IF(C_Corrupción[[#This Row],[Efecto]]="Probabilidad",Y44*(1-C_Corrupción[[#This Row],[Peso]]),Y44)),"")</f>
        <v>0.16799999999999998</v>
      </c>
      <c r="Z45" s="168">
        <f>IFERROR(IF(C_Corrupción[[#This Row],[Código riesgo]]&lt;&gt;C44,_xlfn.XLOOKUP(C_Corrupción[[#This Row],[Código riesgo]],R_Corrupción[Código riesgo],R_Corrupción[Ii %],,0)*IF(C_Corrupción[[#This Row],[Efecto]]="Impacto",1-C_Corrupción[[#This Row],[Peso]],1),IF(C_Corrupción[[#This Row],[Efecto]]="Impacto",Z44*(1-C_Corrupción[[#This Row],[Peso]]),Z44)),"")</f>
        <v>0.75</v>
      </c>
      <c r="AM45" s="16"/>
      <c r="AN45" s="16"/>
      <c r="AO45" s="16"/>
      <c r="AP45" s="16"/>
      <c r="AQ45" s="16"/>
      <c r="AR45" s="16"/>
      <c r="AS45" s="16"/>
      <c r="AT45" s="16"/>
      <c r="AU45" s="16"/>
      <c r="AV45" s="16"/>
      <c r="AW45" s="16"/>
      <c r="AX45" s="16"/>
      <c r="AY45" s="16"/>
      <c r="AZ45" s="16"/>
      <c r="BA45" s="16"/>
    </row>
    <row r="46" spans="1:53" ht="33" x14ac:dyDescent="0.25">
      <c r="A46" s="163">
        <v>41</v>
      </c>
      <c r="B46" s="159" t="str">
        <f>Mapa_RC!$B$12</f>
        <v>Alianzas</v>
      </c>
      <c r="C46" s="169" t="str">
        <f>Mapa_RC!C$12</f>
        <v>ALI-C1</v>
      </c>
      <c r="D46" s="165" t="s">
        <v>66</v>
      </c>
      <c r="E46" s="165"/>
      <c r="F46" s="165"/>
      <c r="G46" s="165"/>
      <c r="H46" s="80"/>
      <c r="I46" s="87" t="str">
        <f>IF(C_Corrupción[[#This Row],[Responsable de ejecutar]]&lt;&gt;"",CONCATENATE(C_Corrupción[[#This Row],[Código riesgo]],"-",IF(C_Corrupción[[#This Row],[Código riesgo]]&lt;&gt;C45,1,RIGHT(I45,1)+1)),"")</f>
        <v/>
      </c>
      <c r="J46" s="157"/>
      <c r="K46" s="157"/>
      <c r="L46" s="157"/>
      <c r="M46" s="87"/>
      <c r="N46" s="87"/>
      <c r="O46" s="87"/>
      <c r="P46" s="87"/>
      <c r="Q46" s="87"/>
      <c r="R46" s="87"/>
      <c r="S46" s="157"/>
      <c r="T46" s="157"/>
      <c r="U46" s="172"/>
      <c r="V46" s="172"/>
      <c r="W46" s="166" t="str">
        <f>_xlfn.XLOOKUP(CONCATENATE(C_Corrupción[[#This Row],[Momento de ejecución]],C_Corrupción[[#This Row],[Forma de ejecución]]),C_Atributos,C_Peso,"",0)</f>
        <v/>
      </c>
      <c r="X46" s="87" t="str">
        <f>IFERROR(_xlfn.XLOOKUP(C_Corrupción[[#This Row],[Momento de ejecución]],C_Momento,C_Efecto,,0),"")</f>
        <v/>
      </c>
      <c r="Y46" s="167">
        <f>IFERROR(IF(C_Corrupción[[#This Row],[Código riesgo]]&lt;&gt;C45,_xlfn.XLOOKUP(C_Corrupción[[#This Row],[Código riesgo]],R_Corrupción[Código riesgo],R_Corrupción[Pi %],,0)*IF(C_Corrupción[[#This Row],[Efecto]]="Probabilidad",1-C_Corrupción[[#This Row],[Peso]],1),IF(C_Corrupción[[#This Row],[Efecto]]="Probabilidad",Y45*(1-C_Corrupción[[#This Row],[Peso]]),Y45)),"")</f>
        <v>0.16799999999999998</v>
      </c>
      <c r="Z46" s="168">
        <f>IFERROR(IF(C_Corrupción[[#This Row],[Código riesgo]]&lt;&gt;C45,_xlfn.XLOOKUP(C_Corrupción[[#This Row],[Código riesgo]],R_Corrupción[Código riesgo],R_Corrupción[Ii %],,0)*IF(C_Corrupción[[#This Row],[Efecto]]="Impacto",1-C_Corrupción[[#This Row],[Peso]],1),IF(C_Corrupción[[#This Row],[Efecto]]="Impacto",Z45*(1-C_Corrupción[[#This Row],[Peso]]),Z45)),"")</f>
        <v>0.75</v>
      </c>
      <c r="AM46" s="16"/>
      <c r="AN46" s="16"/>
      <c r="AO46" s="16"/>
      <c r="AP46" s="16"/>
      <c r="AQ46" s="16"/>
      <c r="AR46" s="16"/>
      <c r="AS46" s="16"/>
      <c r="AT46" s="16"/>
      <c r="AU46" s="16"/>
      <c r="AV46" s="16"/>
      <c r="AW46" s="16"/>
      <c r="AX46" s="16"/>
      <c r="AY46" s="16"/>
      <c r="AZ46" s="16"/>
      <c r="BA46" s="16"/>
    </row>
    <row r="47" spans="1:53" x14ac:dyDescent="0.25">
      <c r="A47" s="163">
        <v>42</v>
      </c>
      <c r="B47" s="159" t="str">
        <f>Mapa_RC!$B$12</f>
        <v>Alianzas</v>
      </c>
      <c r="C47" s="169" t="str">
        <f>Mapa_RC!C$12</f>
        <v>ALI-C1</v>
      </c>
      <c r="D47" s="170" t="s">
        <v>378</v>
      </c>
      <c r="E47" s="170" t="s">
        <v>378</v>
      </c>
      <c r="F47" s="170" t="s">
        <v>378</v>
      </c>
      <c r="G47" s="164">
        <f>COUNTA(D42:G46)</f>
        <v>14</v>
      </c>
      <c r="H47" s="80"/>
      <c r="I47" s="87" t="str">
        <f>IF(C_Corrupción[[#This Row],[Responsable de ejecutar]]&lt;&gt;"",CONCATENATE(C_Corrupción[[#This Row],[Código riesgo]],"-",IF(C_Corrupción[[#This Row],[Código riesgo]]&lt;&gt;C46,1,RIGHT(I46,1)+1)),"")</f>
        <v/>
      </c>
      <c r="J47" s="157"/>
      <c r="K47" s="157"/>
      <c r="L47" s="157"/>
      <c r="M47" s="87"/>
      <c r="N47" s="87"/>
      <c r="O47" s="87"/>
      <c r="P47" s="87"/>
      <c r="Q47" s="87"/>
      <c r="R47" s="87"/>
      <c r="S47" s="157"/>
      <c r="T47" s="157"/>
      <c r="U47" s="172"/>
      <c r="V47" s="172"/>
      <c r="W47" s="166" t="str">
        <f>_xlfn.XLOOKUP(CONCATENATE(C_Corrupción[[#This Row],[Momento de ejecución]],C_Corrupción[[#This Row],[Forma de ejecución]]),C_Atributos,C_Peso,"",0)</f>
        <v/>
      </c>
      <c r="X47" s="87" t="str">
        <f>IFERROR(_xlfn.XLOOKUP(C_Corrupción[[#This Row],[Momento de ejecución]],C_Momento,C_Efecto,,0),"")</f>
        <v/>
      </c>
      <c r="Y47" s="167">
        <f>IFERROR(IF(C_Corrupción[[#This Row],[Código riesgo]]&lt;&gt;C46,_xlfn.XLOOKUP(C_Corrupción[[#This Row],[Código riesgo]],R_Corrupción[Código riesgo],R_Corrupción[Pi %],,0)*IF(C_Corrupción[[#This Row],[Efecto]]="Probabilidad",1-C_Corrupción[[#This Row],[Peso]],1),IF(C_Corrupción[[#This Row],[Efecto]]="Probabilidad",Y46*(1-C_Corrupción[[#This Row],[Peso]]),Y46)),"")</f>
        <v>0.16799999999999998</v>
      </c>
      <c r="Z47" s="168">
        <f>IFERROR(IF(C_Corrupción[[#This Row],[Código riesgo]]&lt;&gt;C46,_xlfn.XLOOKUP(C_Corrupción[[#This Row],[Código riesgo]],R_Corrupción[Código riesgo],R_Corrupción[Ii %],,0)*IF(C_Corrupción[[#This Row],[Efecto]]="Impacto",1-C_Corrupción[[#This Row],[Peso]],1),IF(C_Corrupción[[#This Row],[Efecto]]="Impacto",Z46*(1-C_Corrupción[[#This Row],[Peso]]),Z46)),"")</f>
        <v>0.75</v>
      </c>
      <c r="AM47" s="16"/>
      <c r="AN47" s="16"/>
      <c r="AO47" s="16"/>
      <c r="AP47" s="16"/>
      <c r="AQ47" s="16"/>
      <c r="AR47" s="16"/>
      <c r="AS47" s="16"/>
      <c r="AT47" s="16"/>
      <c r="AU47" s="16"/>
      <c r="AV47" s="16"/>
      <c r="AW47" s="16"/>
      <c r="AX47" s="16"/>
      <c r="AY47" s="16"/>
      <c r="AZ47" s="16"/>
      <c r="BA47" s="16"/>
    </row>
    <row r="48" spans="1:53" ht="148.5" x14ac:dyDescent="0.25">
      <c r="A48" s="163">
        <v>43</v>
      </c>
      <c r="B48" s="159" t="str">
        <f>Mapa_RC!$B$13</f>
        <v>Contabilidad y presupuesto</v>
      </c>
      <c r="C48" s="164" t="str">
        <f>Mapa_RC!C$13</f>
        <v>PRE-C1</v>
      </c>
      <c r="D48" s="165" t="s">
        <v>50</v>
      </c>
      <c r="E48" s="165" t="s">
        <v>51</v>
      </c>
      <c r="F48" s="165" t="s">
        <v>365</v>
      </c>
      <c r="G48" s="165" t="s">
        <v>53</v>
      </c>
      <c r="H48" s="80" t="s">
        <v>478</v>
      </c>
      <c r="I48" s="87" t="str">
        <f>IF(C_Corrupción[[#This Row],[Responsable de ejecutar]]&lt;&gt;"",CONCATENATE(C_Corrupción[[#This Row],[Código riesgo]],"-",IF(C_Corrupción[[#This Row],[Código riesgo]]&lt;&gt;C47,1,RIGHT(I47,1)+1)),"")</f>
        <v>PRE-C1-1</v>
      </c>
      <c r="J48" s="157" t="s">
        <v>479</v>
      </c>
      <c r="K48" s="157" t="s">
        <v>480</v>
      </c>
      <c r="L48" s="157" t="s">
        <v>481</v>
      </c>
      <c r="M48" s="87" t="s">
        <v>17</v>
      </c>
      <c r="N48" s="87" t="s">
        <v>30</v>
      </c>
      <c r="O48" s="87" t="s">
        <v>482</v>
      </c>
      <c r="P48" s="87" t="s">
        <v>131</v>
      </c>
      <c r="Q48" s="87" t="s">
        <v>483</v>
      </c>
      <c r="R48" s="163" t="s">
        <v>212</v>
      </c>
      <c r="S48" s="157" t="s">
        <v>484</v>
      </c>
      <c r="T48" s="157" t="s">
        <v>485</v>
      </c>
      <c r="U48" s="172">
        <v>45352</v>
      </c>
      <c r="V48" s="172">
        <v>45621</v>
      </c>
      <c r="W48" s="166">
        <f>_xlfn.XLOOKUP(CONCATENATE(C_Corrupción[[#This Row],[Momento de ejecución]],C_Corrupción[[#This Row],[Forma de ejecución]]),C_Atributos,C_Peso,"",0)</f>
        <v>0.4</v>
      </c>
      <c r="X48" s="87" t="str">
        <f>IFERROR(_xlfn.XLOOKUP(C_Corrupción[[#This Row],[Momento de ejecución]],C_Momento,C_Efecto,,0),"")</f>
        <v>Probabilidad</v>
      </c>
      <c r="Y48" s="167">
        <f>IFERROR(IF(C_Corrupción[[#This Row],[Código riesgo]]&lt;&gt;C47,_xlfn.XLOOKUP(C_Corrupción[[#This Row],[Código riesgo]],R_Corrupción[Código riesgo],R_Corrupción[Pi %],,0)*IF(C_Corrupción[[#This Row],[Efecto]]="Probabilidad",1-C_Corrupción[[#This Row],[Peso]],1),IF(C_Corrupción[[#This Row],[Efecto]]="Probabilidad",Y47*(1-C_Corrupción[[#This Row],[Peso]]),Y47)),"")</f>
        <v>0.48</v>
      </c>
      <c r="Z48" s="168">
        <f>IFERROR(IF(C_Corrupción[[#This Row],[Código riesgo]]&lt;&gt;C47,_xlfn.XLOOKUP(C_Corrupción[[#This Row],[Código riesgo]],R_Corrupción[Código riesgo],R_Corrupción[Ii %],,0)*IF(C_Corrupción[[#This Row],[Efecto]]="Impacto",1-C_Corrupción[[#This Row],[Peso]],1),IF(C_Corrupción[[#This Row],[Efecto]]="Impacto",Z47*(1-C_Corrupción[[#This Row],[Peso]]),Z47)),"")</f>
        <v>0.8</v>
      </c>
    </row>
    <row r="49" spans="1:26" ht="115.5" x14ac:dyDescent="0.25">
      <c r="A49" s="163">
        <v>44</v>
      </c>
      <c r="B49" s="159" t="str">
        <f>Mapa_RC!$B$13</f>
        <v>Contabilidad y presupuesto</v>
      </c>
      <c r="C49" s="169" t="str">
        <f>Mapa_RC!C$13</f>
        <v>PRE-C1</v>
      </c>
      <c r="D49" s="165" t="s">
        <v>54</v>
      </c>
      <c r="E49" s="165"/>
      <c r="F49" s="165" t="s">
        <v>56</v>
      </c>
      <c r="G49" s="165"/>
      <c r="H49" s="80" t="s">
        <v>486</v>
      </c>
      <c r="I49" s="87" t="str">
        <f>IF(C_Corrupción[[#This Row],[Responsable de ejecutar]]&lt;&gt;"",CONCATENATE(C_Corrupción[[#This Row],[Código riesgo]],"-",IF(C_Corrupción[[#This Row],[Código riesgo]]&lt;&gt;C48,1,RIGHT(I48,1)+1)),"")</f>
        <v>PRE-C1-2</v>
      </c>
      <c r="J49" s="157" t="s">
        <v>487</v>
      </c>
      <c r="K49" s="157" t="s">
        <v>488</v>
      </c>
      <c r="L49" s="157" t="s">
        <v>489</v>
      </c>
      <c r="M49" s="87" t="s">
        <v>17</v>
      </c>
      <c r="N49" s="87" t="s">
        <v>30</v>
      </c>
      <c r="O49" s="87" t="s">
        <v>482</v>
      </c>
      <c r="P49" s="87" t="s">
        <v>135</v>
      </c>
      <c r="Q49" s="87" t="s">
        <v>483</v>
      </c>
      <c r="R49" s="87" t="s">
        <v>212</v>
      </c>
      <c r="S49" s="157" t="s">
        <v>490</v>
      </c>
      <c r="T49" s="157" t="s">
        <v>485</v>
      </c>
      <c r="U49" s="172">
        <v>45323</v>
      </c>
      <c r="V49" s="172">
        <v>45621</v>
      </c>
      <c r="W49" s="166">
        <f>_xlfn.XLOOKUP(CONCATENATE(C_Corrupción[[#This Row],[Momento de ejecución]],C_Corrupción[[#This Row],[Forma de ejecución]]),C_Atributos,C_Peso,"",0)</f>
        <v>0.4</v>
      </c>
      <c r="X49" s="87" t="str">
        <f>IFERROR(_xlfn.XLOOKUP(C_Corrupción[[#This Row],[Momento de ejecución]],C_Momento,C_Efecto,,0),"")</f>
        <v>Probabilidad</v>
      </c>
      <c r="Y49" s="167">
        <f>IFERROR(IF(C_Corrupción[[#This Row],[Código riesgo]]&lt;&gt;C48,_xlfn.XLOOKUP(C_Corrupción[[#This Row],[Código riesgo]],R_Corrupción[Código riesgo],R_Corrupción[Pi %],,0)*IF(C_Corrupción[[#This Row],[Efecto]]="Probabilidad",1-C_Corrupción[[#This Row],[Peso]],1),IF(C_Corrupción[[#This Row],[Efecto]]="Probabilidad",Y48*(1-C_Corrupción[[#This Row],[Peso]]),Y48)),"")</f>
        <v>0.28799999999999998</v>
      </c>
      <c r="Z49" s="168">
        <f>IFERROR(IF(C_Corrupción[[#This Row],[Código riesgo]]&lt;&gt;C48,_xlfn.XLOOKUP(C_Corrupción[[#This Row],[Código riesgo]],R_Corrupción[Código riesgo],R_Corrupción[Ii %],,0)*IF(C_Corrupción[[#This Row],[Efecto]]="Impacto",1-C_Corrupción[[#This Row],[Peso]],1),IF(C_Corrupción[[#This Row],[Efecto]]="Impacto",Z48*(1-C_Corrupción[[#This Row],[Peso]]),Z48)),"")</f>
        <v>0.8</v>
      </c>
    </row>
    <row r="50" spans="1:26" ht="66" x14ac:dyDescent="0.25">
      <c r="A50" s="163">
        <v>45</v>
      </c>
      <c r="B50" s="159" t="str">
        <f>Mapa_RC!$B$13</f>
        <v>Contabilidad y presupuesto</v>
      </c>
      <c r="C50" s="169" t="str">
        <f>Mapa_RC!C$13</f>
        <v>PRE-C1</v>
      </c>
      <c r="D50" s="165"/>
      <c r="E50" s="165" t="s">
        <v>59</v>
      </c>
      <c r="F50" s="165" t="s">
        <v>60</v>
      </c>
      <c r="G50" s="165"/>
      <c r="H50" s="80" t="s">
        <v>491</v>
      </c>
      <c r="I50" s="87" t="str">
        <f>IF(C_Corrupción[[#This Row],[Responsable de ejecutar]]&lt;&gt;"",CONCATENATE(C_Corrupción[[#This Row],[Código riesgo]],"-",IF(C_Corrupción[[#This Row],[Código riesgo]]&lt;&gt;C49,1,RIGHT(I49,1)+1)),"")</f>
        <v>PRE-C1-3</v>
      </c>
      <c r="J50" s="157" t="s">
        <v>479</v>
      </c>
      <c r="K50" s="157" t="s">
        <v>492</v>
      </c>
      <c r="L50" s="157" t="s">
        <v>493</v>
      </c>
      <c r="M50" s="87" t="s">
        <v>20</v>
      </c>
      <c r="N50" s="87" t="s">
        <v>30</v>
      </c>
      <c r="O50" s="87" t="s">
        <v>109</v>
      </c>
      <c r="P50" s="87" t="s">
        <v>137</v>
      </c>
      <c r="Q50" s="87" t="s">
        <v>483</v>
      </c>
      <c r="R50" s="87"/>
      <c r="S50" s="157"/>
      <c r="T50" s="157"/>
      <c r="U50" s="172"/>
      <c r="V50" s="172"/>
      <c r="W50" s="166">
        <f>_xlfn.XLOOKUP(CONCATENATE(C_Corrupción[[#This Row],[Momento de ejecución]],C_Corrupción[[#This Row],[Forma de ejecución]]),C_Atributos,C_Peso,"",0)</f>
        <v>0.3</v>
      </c>
      <c r="X50" s="87" t="str">
        <f>IFERROR(_xlfn.XLOOKUP(C_Corrupción[[#This Row],[Momento de ejecución]],C_Momento,C_Efecto,,0),"")</f>
        <v>Probabilidad</v>
      </c>
      <c r="Y50" s="167">
        <f>IFERROR(IF(C_Corrupción[[#This Row],[Código riesgo]]&lt;&gt;C49,_xlfn.XLOOKUP(C_Corrupción[[#This Row],[Código riesgo]],R_Corrupción[Código riesgo],R_Corrupción[Pi %],,0)*IF(C_Corrupción[[#This Row],[Efecto]]="Probabilidad",1-C_Corrupción[[#This Row],[Peso]],1),IF(C_Corrupción[[#This Row],[Efecto]]="Probabilidad",Y49*(1-C_Corrupción[[#This Row],[Peso]]),Y49)),"")</f>
        <v>0.20159999999999997</v>
      </c>
      <c r="Z50" s="168">
        <f>IFERROR(IF(C_Corrupción[[#This Row],[Código riesgo]]&lt;&gt;C49,_xlfn.XLOOKUP(C_Corrupción[[#This Row],[Código riesgo]],R_Corrupción[Código riesgo],R_Corrupción[Ii %],,0)*IF(C_Corrupción[[#This Row],[Efecto]]="Impacto",1-C_Corrupción[[#This Row],[Peso]],1),IF(C_Corrupción[[#This Row],[Efecto]]="Impacto",Z49*(1-C_Corrupción[[#This Row],[Peso]]),Z49)),"")</f>
        <v>0.8</v>
      </c>
    </row>
    <row r="51" spans="1:26" ht="99" x14ac:dyDescent="0.25">
      <c r="A51" s="163">
        <v>46</v>
      </c>
      <c r="B51" s="159" t="str">
        <f>Mapa_RC!$B$13</f>
        <v>Contabilidad y presupuesto</v>
      </c>
      <c r="C51" s="169" t="str">
        <f>Mapa_RC!C$13</f>
        <v>PRE-C1</v>
      </c>
      <c r="D51" s="165"/>
      <c r="E51" s="165"/>
      <c r="F51" s="165" t="s">
        <v>64</v>
      </c>
      <c r="G51" s="165"/>
      <c r="H51" s="80" t="s">
        <v>494</v>
      </c>
      <c r="I51" s="87" t="str">
        <f>IF(C_Corrupción[[#This Row],[Responsable de ejecutar]]&lt;&gt;"",CONCATENATE(C_Corrupción[[#This Row],[Código riesgo]],"-",IF(C_Corrupción[[#This Row],[Código riesgo]]&lt;&gt;C50,1,RIGHT(I50,1)+1)),"")</f>
        <v>PRE-C1-4</v>
      </c>
      <c r="J51" s="157" t="s">
        <v>373</v>
      </c>
      <c r="K51" s="157" t="s">
        <v>374</v>
      </c>
      <c r="L51" s="157" t="s">
        <v>375</v>
      </c>
      <c r="M51" s="87" t="s">
        <v>23</v>
      </c>
      <c r="N51" s="87" t="s">
        <v>30</v>
      </c>
      <c r="O51" s="87" t="s">
        <v>376</v>
      </c>
      <c r="P51" s="87" t="s">
        <v>115</v>
      </c>
      <c r="Q51" s="87" t="s">
        <v>377</v>
      </c>
      <c r="R51" s="87"/>
      <c r="S51" s="157"/>
      <c r="T51" s="157"/>
      <c r="U51" s="172"/>
      <c r="V51" s="172"/>
      <c r="W51" s="166">
        <f>_xlfn.XLOOKUP(CONCATENATE(C_Corrupción[[#This Row],[Momento de ejecución]],C_Corrupción[[#This Row],[Forma de ejecución]]),C_Atributos,C_Peso,"",0)</f>
        <v>0.25</v>
      </c>
      <c r="X51" s="87" t="str">
        <f>IFERROR(_xlfn.XLOOKUP(C_Corrupción[[#This Row],[Momento de ejecución]],C_Momento,C_Efecto,,0),"")</f>
        <v>Impacto</v>
      </c>
      <c r="Y51" s="167">
        <f>IFERROR(IF(C_Corrupción[[#This Row],[Código riesgo]]&lt;&gt;C50,_xlfn.XLOOKUP(C_Corrupción[[#This Row],[Código riesgo]],R_Corrupción[Código riesgo],R_Corrupción[Pi %],,0)*IF(C_Corrupción[[#This Row],[Efecto]]="Probabilidad",1-C_Corrupción[[#This Row],[Peso]],1),IF(C_Corrupción[[#This Row],[Efecto]]="Probabilidad",Y50*(1-C_Corrupción[[#This Row],[Peso]]),Y50)),"")</f>
        <v>0.20159999999999997</v>
      </c>
      <c r="Z51" s="168">
        <f>IFERROR(IF(C_Corrupción[[#This Row],[Código riesgo]]&lt;&gt;C50,_xlfn.XLOOKUP(C_Corrupción[[#This Row],[Código riesgo]],R_Corrupción[Código riesgo],R_Corrupción[Ii %],,0)*IF(C_Corrupción[[#This Row],[Efecto]]="Impacto",1-C_Corrupción[[#This Row],[Peso]],1),IF(C_Corrupción[[#This Row],[Efecto]]="Impacto",Z50*(1-C_Corrupción[[#This Row],[Peso]]),Z50)),"")</f>
        <v>0.60000000000000009</v>
      </c>
    </row>
    <row r="52" spans="1:26" ht="33" x14ac:dyDescent="0.25">
      <c r="A52" s="163">
        <v>47</v>
      </c>
      <c r="B52" s="159" t="str">
        <f>Mapa_RC!$B$13</f>
        <v>Contabilidad y presupuesto</v>
      </c>
      <c r="C52" s="169" t="str">
        <f>Mapa_RC!C$13</f>
        <v>PRE-C1</v>
      </c>
      <c r="D52" s="165" t="s">
        <v>66</v>
      </c>
      <c r="E52" s="165"/>
      <c r="F52" s="165" t="s">
        <v>68</v>
      </c>
      <c r="G52" s="165"/>
      <c r="H52" s="80"/>
      <c r="I52" s="87" t="str">
        <f>IF(C_Corrupción[[#This Row],[Responsable de ejecutar]]&lt;&gt;"",CONCATENATE(C_Corrupción[[#This Row],[Código riesgo]],"-",IF(C_Corrupción[[#This Row],[Código riesgo]]&lt;&gt;C51,1,RIGHT(I51,1)+1)),"")</f>
        <v/>
      </c>
      <c r="J52" s="157"/>
      <c r="K52" s="157"/>
      <c r="L52" s="157"/>
      <c r="M52" s="87"/>
      <c r="N52" s="87"/>
      <c r="O52" s="87"/>
      <c r="P52" s="87"/>
      <c r="Q52" s="87"/>
      <c r="R52" s="87"/>
      <c r="S52" s="157"/>
      <c r="T52" s="157"/>
      <c r="U52" s="172"/>
      <c r="V52" s="172"/>
      <c r="W52" s="166" t="str">
        <f>_xlfn.XLOOKUP(CONCATENATE(C_Corrupción[[#This Row],[Momento de ejecución]],C_Corrupción[[#This Row],[Forma de ejecución]]),C_Atributos,C_Peso,"",0)</f>
        <v/>
      </c>
      <c r="X52" s="87" t="str">
        <f>IFERROR(_xlfn.XLOOKUP(C_Corrupción[[#This Row],[Momento de ejecución]],C_Momento,C_Efecto,,0),"")</f>
        <v/>
      </c>
      <c r="Y52" s="167">
        <f>IFERROR(IF(C_Corrupción[[#This Row],[Código riesgo]]&lt;&gt;C51,_xlfn.XLOOKUP(C_Corrupción[[#This Row],[Código riesgo]],R_Corrupción[Código riesgo],R_Corrupción[Pi %],,0)*IF(C_Corrupción[[#This Row],[Efecto]]="Probabilidad",1-C_Corrupción[[#This Row],[Peso]],1),IF(C_Corrupción[[#This Row],[Efecto]]="Probabilidad",Y51*(1-C_Corrupción[[#This Row],[Peso]]),Y51)),"")</f>
        <v>0.20159999999999997</v>
      </c>
      <c r="Z52" s="168">
        <f>IFERROR(IF(C_Corrupción[[#This Row],[Código riesgo]]&lt;&gt;C51,_xlfn.XLOOKUP(C_Corrupción[[#This Row],[Código riesgo]],R_Corrupción[Código riesgo],R_Corrupción[Ii %],,0)*IF(C_Corrupción[[#This Row],[Efecto]]="Impacto",1-C_Corrupción[[#This Row],[Peso]],1),IF(C_Corrupción[[#This Row],[Efecto]]="Impacto",Z51*(1-C_Corrupción[[#This Row],[Peso]]),Z51)),"")</f>
        <v>0.60000000000000009</v>
      </c>
    </row>
    <row r="53" spans="1:26" ht="33" x14ac:dyDescent="0.25">
      <c r="A53" s="163">
        <v>48</v>
      </c>
      <c r="B53" s="159" t="str">
        <f>Mapa_RC!$B$13</f>
        <v>Contabilidad y presupuesto</v>
      </c>
      <c r="C53" s="169" t="str">
        <f>Mapa_RC!C$13</f>
        <v>PRE-C1</v>
      </c>
      <c r="D53" s="170" t="s">
        <v>378</v>
      </c>
      <c r="E53" s="170" t="s">
        <v>378</v>
      </c>
      <c r="F53" s="170" t="s">
        <v>378</v>
      </c>
      <c r="G53" s="164">
        <f>COUNTA(D48:G52)</f>
        <v>11</v>
      </c>
      <c r="H53" s="80"/>
      <c r="I53" s="87" t="str">
        <f>IF(C_Corrupción[[#This Row],[Responsable de ejecutar]]&lt;&gt;"",CONCATENATE(C_Corrupción[[#This Row],[Código riesgo]],"-",IF(C_Corrupción[[#This Row],[Código riesgo]]&lt;&gt;C52,1,RIGHT(I52,1)+1)),"")</f>
        <v/>
      </c>
      <c r="J53" s="157"/>
      <c r="K53" s="157"/>
      <c r="L53" s="157"/>
      <c r="M53" s="87"/>
      <c r="N53" s="87"/>
      <c r="O53" s="87"/>
      <c r="P53" s="87"/>
      <c r="Q53" s="87"/>
      <c r="R53" s="87"/>
      <c r="S53" s="157"/>
      <c r="T53" s="157"/>
      <c r="U53" s="172"/>
      <c r="V53" s="172"/>
      <c r="W53" s="166" t="str">
        <f>_xlfn.XLOOKUP(CONCATENATE(C_Corrupción[[#This Row],[Momento de ejecución]],C_Corrupción[[#This Row],[Forma de ejecución]]),C_Atributos,C_Peso,"",0)</f>
        <v/>
      </c>
      <c r="X53" s="87" t="str">
        <f>IFERROR(_xlfn.XLOOKUP(C_Corrupción[[#This Row],[Momento de ejecución]],C_Momento,C_Efecto,,0),"")</f>
        <v/>
      </c>
      <c r="Y53" s="167">
        <f>IFERROR(IF(C_Corrupción[[#This Row],[Código riesgo]]&lt;&gt;C52,_xlfn.XLOOKUP(C_Corrupción[[#This Row],[Código riesgo]],R_Corrupción[Código riesgo],R_Corrupción[Pi %],,0)*IF(C_Corrupción[[#This Row],[Efecto]]="Probabilidad",1-C_Corrupción[[#This Row],[Peso]],1),IF(C_Corrupción[[#This Row],[Efecto]]="Probabilidad",Y52*(1-C_Corrupción[[#This Row],[Peso]]),Y52)),"")</f>
        <v>0.20159999999999997</v>
      </c>
      <c r="Z53" s="168">
        <f>IFERROR(IF(C_Corrupción[[#This Row],[Código riesgo]]&lt;&gt;C52,_xlfn.XLOOKUP(C_Corrupción[[#This Row],[Código riesgo]],R_Corrupción[Código riesgo],R_Corrupción[Ii %],,0)*IF(C_Corrupción[[#This Row],[Efecto]]="Impacto",1-C_Corrupción[[#This Row],[Peso]],1),IF(C_Corrupción[[#This Row],[Efecto]]="Impacto",Z52*(1-C_Corrupción[[#This Row],[Peso]]),Z52)),"")</f>
        <v>0.60000000000000009</v>
      </c>
    </row>
    <row r="54" spans="1:26" ht="66" x14ac:dyDescent="0.25">
      <c r="A54" s="163">
        <v>49</v>
      </c>
      <c r="B54" s="159" t="str">
        <f>Mapa_RC!$B$14</f>
        <v>Contabilidad y presupuesto</v>
      </c>
      <c r="C54" s="164" t="str">
        <f>Mapa_RC!C$14</f>
        <v>PRE-C2</v>
      </c>
      <c r="D54" s="165" t="s">
        <v>50</v>
      </c>
      <c r="E54" s="165" t="s">
        <v>51</v>
      </c>
      <c r="F54" s="165" t="s">
        <v>365</v>
      </c>
      <c r="G54" s="165" t="s">
        <v>53</v>
      </c>
      <c r="H54" s="80" t="s">
        <v>495</v>
      </c>
      <c r="I54" s="87" t="str">
        <f>IF(C_Corrupción[[#This Row],[Responsable de ejecutar]]&lt;&gt;"",CONCATENATE(C_Corrupción[[#This Row],[Código riesgo]],"-",IF(C_Corrupción[[#This Row],[Código riesgo]]&lt;&gt;C53,1,RIGHT(I53,1)+1)),"")</f>
        <v>PRE-C2-1</v>
      </c>
      <c r="J54" s="157" t="s">
        <v>496</v>
      </c>
      <c r="K54" s="157" t="s">
        <v>497</v>
      </c>
      <c r="L54" s="157" t="s">
        <v>498</v>
      </c>
      <c r="M54" s="87" t="s">
        <v>17</v>
      </c>
      <c r="N54" s="87" t="s">
        <v>30</v>
      </c>
      <c r="O54" s="87" t="s">
        <v>499</v>
      </c>
      <c r="P54" s="87" t="s">
        <v>135</v>
      </c>
      <c r="Q54" s="87" t="s">
        <v>483</v>
      </c>
      <c r="R54" s="87"/>
      <c r="S54" s="157"/>
      <c r="T54" s="157"/>
      <c r="U54" s="172"/>
      <c r="V54" s="172"/>
      <c r="W54" s="166">
        <f>_xlfn.XLOOKUP(CONCATENATE(C_Corrupción[[#This Row],[Momento de ejecución]],C_Corrupción[[#This Row],[Forma de ejecución]]),C_Atributos,C_Peso,"",0)</f>
        <v>0.4</v>
      </c>
      <c r="X54" s="87" t="str">
        <f>IFERROR(_xlfn.XLOOKUP(C_Corrupción[[#This Row],[Momento de ejecución]],C_Momento,C_Efecto,,0),"")</f>
        <v>Probabilidad</v>
      </c>
      <c r="Y54" s="167">
        <f>IFERROR(IF(C_Corrupción[[#This Row],[Código riesgo]]&lt;&gt;C53,_xlfn.XLOOKUP(C_Corrupción[[#This Row],[Código riesgo]],R_Corrupción[Código riesgo],R_Corrupción[Pi %],,0)*IF(C_Corrupción[[#This Row],[Efecto]]="Probabilidad",1-C_Corrupción[[#This Row],[Peso]],1),IF(C_Corrupción[[#This Row],[Efecto]]="Probabilidad",Y53*(1-C_Corrupción[[#This Row],[Peso]]),Y53)),"")</f>
        <v>0.48</v>
      </c>
      <c r="Z54" s="168">
        <f>IFERROR(IF(C_Corrupción[[#This Row],[Código riesgo]]&lt;&gt;C53,_xlfn.XLOOKUP(C_Corrupción[[#This Row],[Código riesgo]],R_Corrupción[Código riesgo],R_Corrupción[Ii %],,0)*IF(C_Corrupción[[#This Row],[Efecto]]="Impacto",1-C_Corrupción[[#This Row],[Peso]],1),IF(C_Corrupción[[#This Row],[Efecto]]="Impacto",Z53*(1-C_Corrupción[[#This Row],[Peso]]),Z53)),"")</f>
        <v>0.8</v>
      </c>
    </row>
    <row r="55" spans="1:26" ht="82.5" x14ac:dyDescent="0.25">
      <c r="A55" s="163">
        <v>50</v>
      </c>
      <c r="B55" s="159" t="str">
        <f>Mapa_RC!$B$14</f>
        <v>Contabilidad y presupuesto</v>
      </c>
      <c r="C55" s="169" t="str">
        <f>Mapa_RC!C$14</f>
        <v>PRE-C2</v>
      </c>
      <c r="D55" s="165" t="s">
        <v>54</v>
      </c>
      <c r="E55" s="165"/>
      <c r="F55" s="165" t="s">
        <v>56</v>
      </c>
      <c r="G55" s="165"/>
      <c r="H55" s="80" t="s">
        <v>500</v>
      </c>
      <c r="I55" s="87" t="str">
        <f>IF(C_Corrupción[[#This Row],[Responsable de ejecutar]]&lt;&gt;"",CONCATENATE(C_Corrupción[[#This Row],[Código riesgo]],"-",IF(C_Corrupción[[#This Row],[Código riesgo]]&lt;&gt;C54,1,RIGHT(I54,1)+1)),"")</f>
        <v>PRE-C2-2</v>
      </c>
      <c r="J55" s="157" t="s">
        <v>501</v>
      </c>
      <c r="K55" s="157" t="s">
        <v>502</v>
      </c>
      <c r="L55" s="157" t="s">
        <v>503</v>
      </c>
      <c r="M55" s="87" t="s">
        <v>20</v>
      </c>
      <c r="N55" s="87" t="s">
        <v>30</v>
      </c>
      <c r="O55" s="87" t="s">
        <v>504</v>
      </c>
      <c r="P55" s="87" t="s">
        <v>135</v>
      </c>
      <c r="Q55" s="87" t="s">
        <v>505</v>
      </c>
      <c r="R55" s="87"/>
      <c r="S55" s="157"/>
      <c r="T55" s="157"/>
      <c r="U55" s="172"/>
      <c r="V55" s="172"/>
      <c r="W55" s="166">
        <f>_xlfn.XLOOKUP(CONCATENATE(C_Corrupción[[#This Row],[Momento de ejecución]],C_Corrupción[[#This Row],[Forma de ejecución]]),C_Atributos,C_Peso,"",0)</f>
        <v>0.3</v>
      </c>
      <c r="X55" s="87" t="str">
        <f>IFERROR(_xlfn.XLOOKUP(C_Corrupción[[#This Row],[Momento de ejecución]],C_Momento,C_Efecto,,0),"")</f>
        <v>Probabilidad</v>
      </c>
      <c r="Y55" s="167">
        <f>IFERROR(IF(C_Corrupción[[#This Row],[Código riesgo]]&lt;&gt;C54,_xlfn.XLOOKUP(C_Corrupción[[#This Row],[Código riesgo]],R_Corrupción[Código riesgo],R_Corrupción[Pi %],,0)*IF(C_Corrupción[[#This Row],[Efecto]]="Probabilidad",1-C_Corrupción[[#This Row],[Peso]],1),IF(C_Corrupción[[#This Row],[Efecto]]="Probabilidad",Y54*(1-C_Corrupción[[#This Row],[Peso]]),Y54)),"")</f>
        <v>0.33599999999999997</v>
      </c>
      <c r="Z55" s="168">
        <f>IFERROR(IF(C_Corrupción[[#This Row],[Código riesgo]]&lt;&gt;C54,_xlfn.XLOOKUP(C_Corrupción[[#This Row],[Código riesgo]],R_Corrupción[Código riesgo],R_Corrupción[Ii %],,0)*IF(C_Corrupción[[#This Row],[Efecto]]="Impacto",1-C_Corrupción[[#This Row],[Peso]],1),IF(C_Corrupción[[#This Row],[Efecto]]="Impacto",Z54*(1-C_Corrupción[[#This Row],[Peso]]),Z54)),"")</f>
        <v>0.8</v>
      </c>
    </row>
    <row r="56" spans="1:26" ht="99" x14ac:dyDescent="0.25">
      <c r="A56" s="163">
        <v>51</v>
      </c>
      <c r="B56" s="159" t="str">
        <f>Mapa_RC!$B$14</f>
        <v>Contabilidad y presupuesto</v>
      </c>
      <c r="C56" s="169" t="str">
        <f>Mapa_RC!C$14</f>
        <v>PRE-C2</v>
      </c>
      <c r="D56" s="165"/>
      <c r="E56" s="165" t="s">
        <v>59</v>
      </c>
      <c r="F56" s="165" t="s">
        <v>60</v>
      </c>
      <c r="G56" s="165"/>
      <c r="H56" s="80" t="s">
        <v>506</v>
      </c>
      <c r="I56" s="87" t="str">
        <f>IF(C_Corrupción[[#This Row],[Responsable de ejecutar]]&lt;&gt;"",CONCATENATE(C_Corrupción[[#This Row],[Código riesgo]],"-",IF(C_Corrupción[[#This Row],[Código riesgo]]&lt;&gt;C55,1,RIGHT(I55,1)+1)),"")</f>
        <v>PRE-C2-3</v>
      </c>
      <c r="J56" s="157" t="s">
        <v>373</v>
      </c>
      <c r="K56" s="157" t="s">
        <v>374</v>
      </c>
      <c r="L56" s="157" t="s">
        <v>375</v>
      </c>
      <c r="M56" s="87" t="s">
        <v>23</v>
      </c>
      <c r="N56" s="87" t="s">
        <v>30</v>
      </c>
      <c r="O56" s="87" t="s">
        <v>376</v>
      </c>
      <c r="P56" s="87" t="s">
        <v>115</v>
      </c>
      <c r="Q56" s="87" t="s">
        <v>377</v>
      </c>
      <c r="R56" s="87"/>
      <c r="S56" s="157"/>
      <c r="T56" s="157"/>
      <c r="U56" s="172"/>
      <c r="V56" s="172"/>
      <c r="W56" s="166">
        <f>_xlfn.XLOOKUP(CONCATENATE(C_Corrupción[[#This Row],[Momento de ejecución]],C_Corrupción[[#This Row],[Forma de ejecución]]),C_Atributos,C_Peso,"",0)</f>
        <v>0.25</v>
      </c>
      <c r="X56" s="87" t="str">
        <f>IFERROR(_xlfn.XLOOKUP(C_Corrupción[[#This Row],[Momento de ejecución]],C_Momento,C_Efecto,,0),"")</f>
        <v>Impacto</v>
      </c>
      <c r="Y56" s="167">
        <f>IFERROR(IF(C_Corrupción[[#This Row],[Código riesgo]]&lt;&gt;C55,_xlfn.XLOOKUP(C_Corrupción[[#This Row],[Código riesgo]],R_Corrupción[Código riesgo],R_Corrupción[Pi %],,0)*IF(C_Corrupción[[#This Row],[Efecto]]="Probabilidad",1-C_Corrupción[[#This Row],[Peso]],1),IF(C_Corrupción[[#This Row],[Efecto]]="Probabilidad",Y55*(1-C_Corrupción[[#This Row],[Peso]]),Y55)),"")</f>
        <v>0.33599999999999997</v>
      </c>
      <c r="Z56" s="168">
        <f>IFERROR(IF(C_Corrupción[[#This Row],[Código riesgo]]&lt;&gt;C55,_xlfn.XLOOKUP(C_Corrupción[[#This Row],[Código riesgo]],R_Corrupción[Código riesgo],R_Corrupción[Ii %],,0)*IF(C_Corrupción[[#This Row],[Efecto]]="Impacto",1-C_Corrupción[[#This Row],[Peso]],1),IF(C_Corrupción[[#This Row],[Efecto]]="Impacto",Z55*(1-C_Corrupción[[#This Row],[Peso]]),Z55)),"")</f>
        <v>0.60000000000000009</v>
      </c>
    </row>
    <row r="57" spans="1:26" ht="33" x14ac:dyDescent="0.25">
      <c r="A57" s="163">
        <v>52</v>
      </c>
      <c r="B57" s="159" t="str">
        <f>Mapa_RC!$B$14</f>
        <v>Contabilidad y presupuesto</v>
      </c>
      <c r="C57" s="169" t="str">
        <f>Mapa_RC!C$14</f>
        <v>PRE-C2</v>
      </c>
      <c r="D57" s="165"/>
      <c r="E57" s="165"/>
      <c r="F57" s="165" t="s">
        <v>64</v>
      </c>
      <c r="G57" s="165"/>
      <c r="H57" s="80"/>
      <c r="I57" s="87" t="str">
        <f>IF(C_Corrupción[[#This Row],[Responsable de ejecutar]]&lt;&gt;"",CONCATENATE(C_Corrupción[[#This Row],[Código riesgo]],"-",IF(C_Corrupción[[#This Row],[Código riesgo]]&lt;&gt;C56,1,RIGHT(I56,1)+1)),"")</f>
        <v/>
      </c>
      <c r="J57" s="157"/>
      <c r="K57" s="157"/>
      <c r="L57" s="157"/>
      <c r="M57" s="87"/>
      <c r="N57" s="87"/>
      <c r="O57" s="87"/>
      <c r="P57" s="87"/>
      <c r="Q57" s="87"/>
      <c r="R57" s="87"/>
      <c r="S57" s="157"/>
      <c r="T57" s="157"/>
      <c r="U57" s="172"/>
      <c r="V57" s="172"/>
      <c r="W57" s="166" t="str">
        <f>_xlfn.XLOOKUP(CONCATENATE(C_Corrupción[[#This Row],[Momento de ejecución]],C_Corrupción[[#This Row],[Forma de ejecución]]),C_Atributos,C_Peso,"",0)</f>
        <v/>
      </c>
      <c r="X57" s="87" t="str">
        <f>IFERROR(_xlfn.XLOOKUP(C_Corrupción[[#This Row],[Momento de ejecución]],C_Momento,C_Efecto,,0),"")</f>
        <v/>
      </c>
      <c r="Y57" s="167">
        <f>IFERROR(IF(C_Corrupción[[#This Row],[Código riesgo]]&lt;&gt;C56,_xlfn.XLOOKUP(C_Corrupción[[#This Row],[Código riesgo]],R_Corrupción[Código riesgo],R_Corrupción[Pi %],,0)*IF(C_Corrupción[[#This Row],[Efecto]]="Probabilidad",1-C_Corrupción[[#This Row],[Peso]],1),IF(C_Corrupción[[#This Row],[Efecto]]="Probabilidad",Y56*(1-C_Corrupción[[#This Row],[Peso]]),Y56)),"")</f>
        <v>0.33599999999999997</v>
      </c>
      <c r="Z57" s="168">
        <f>IFERROR(IF(C_Corrupción[[#This Row],[Código riesgo]]&lt;&gt;C56,_xlfn.XLOOKUP(C_Corrupción[[#This Row],[Código riesgo]],R_Corrupción[Código riesgo],R_Corrupción[Ii %],,0)*IF(C_Corrupción[[#This Row],[Efecto]]="Impacto",1-C_Corrupción[[#This Row],[Peso]],1),IF(C_Corrupción[[#This Row],[Efecto]]="Impacto",Z56*(1-C_Corrupción[[#This Row],[Peso]]),Z56)),"")</f>
        <v>0.60000000000000009</v>
      </c>
    </row>
    <row r="58" spans="1:26" ht="33" x14ac:dyDescent="0.25">
      <c r="A58" s="163">
        <v>53</v>
      </c>
      <c r="B58" s="159" t="str">
        <f>Mapa_RC!$B$14</f>
        <v>Contabilidad y presupuesto</v>
      </c>
      <c r="C58" s="169" t="str">
        <f>Mapa_RC!C$14</f>
        <v>PRE-C2</v>
      </c>
      <c r="D58" s="165" t="s">
        <v>66</v>
      </c>
      <c r="E58" s="165"/>
      <c r="F58" s="165" t="s">
        <v>68</v>
      </c>
      <c r="G58" s="165"/>
      <c r="H58" s="80"/>
      <c r="I58" s="87" t="str">
        <f>IF(C_Corrupción[[#This Row],[Responsable de ejecutar]]&lt;&gt;"",CONCATENATE(C_Corrupción[[#This Row],[Código riesgo]],"-",IF(C_Corrupción[[#This Row],[Código riesgo]]&lt;&gt;C57,1,RIGHT(I57,1)+1)),"")</f>
        <v/>
      </c>
      <c r="J58" s="157"/>
      <c r="K58" s="157"/>
      <c r="L58" s="157"/>
      <c r="M58" s="87"/>
      <c r="N58" s="87"/>
      <c r="O58" s="87"/>
      <c r="P58" s="87"/>
      <c r="Q58" s="87"/>
      <c r="R58" s="87"/>
      <c r="S58" s="157"/>
      <c r="T58" s="157"/>
      <c r="U58" s="172"/>
      <c r="V58" s="172"/>
      <c r="W58" s="166" t="str">
        <f>_xlfn.XLOOKUP(CONCATENATE(C_Corrupción[[#This Row],[Momento de ejecución]],C_Corrupción[[#This Row],[Forma de ejecución]]),C_Atributos,C_Peso,"",0)</f>
        <v/>
      </c>
      <c r="X58" s="87" t="str">
        <f>IFERROR(_xlfn.XLOOKUP(C_Corrupción[[#This Row],[Momento de ejecución]],C_Momento,C_Efecto,,0),"")</f>
        <v/>
      </c>
      <c r="Y58" s="167">
        <f>IFERROR(IF(C_Corrupción[[#This Row],[Código riesgo]]&lt;&gt;C57,_xlfn.XLOOKUP(C_Corrupción[[#This Row],[Código riesgo]],R_Corrupción[Código riesgo],R_Corrupción[Pi %],,0)*IF(C_Corrupción[[#This Row],[Efecto]]="Probabilidad",1-C_Corrupción[[#This Row],[Peso]],1),IF(C_Corrupción[[#This Row],[Efecto]]="Probabilidad",Y57*(1-C_Corrupción[[#This Row],[Peso]]),Y57)),"")</f>
        <v>0.33599999999999997</v>
      </c>
      <c r="Z58" s="168">
        <f>IFERROR(IF(C_Corrupción[[#This Row],[Código riesgo]]&lt;&gt;C57,_xlfn.XLOOKUP(C_Corrupción[[#This Row],[Código riesgo]],R_Corrupción[Código riesgo],R_Corrupción[Ii %],,0)*IF(C_Corrupción[[#This Row],[Efecto]]="Impacto",1-C_Corrupción[[#This Row],[Peso]],1),IF(C_Corrupción[[#This Row],[Efecto]]="Impacto",Z57*(1-C_Corrupción[[#This Row],[Peso]]),Z57)),"")</f>
        <v>0.60000000000000009</v>
      </c>
    </row>
    <row r="59" spans="1:26" ht="33" x14ac:dyDescent="0.25">
      <c r="A59" s="163">
        <v>54</v>
      </c>
      <c r="B59" s="159" t="str">
        <f>Mapa_RC!$B$14</f>
        <v>Contabilidad y presupuesto</v>
      </c>
      <c r="C59" s="169" t="str">
        <f>Mapa_RC!C$14</f>
        <v>PRE-C2</v>
      </c>
      <c r="D59" s="170" t="s">
        <v>378</v>
      </c>
      <c r="E59" s="170" t="s">
        <v>378</v>
      </c>
      <c r="F59" s="170" t="s">
        <v>378</v>
      </c>
      <c r="G59" s="164">
        <f>COUNTA(D54:G58)</f>
        <v>11</v>
      </c>
      <c r="H59" s="80"/>
      <c r="I59" s="87" t="str">
        <f>IF(C_Corrupción[[#This Row],[Responsable de ejecutar]]&lt;&gt;"",CONCATENATE(C_Corrupción[[#This Row],[Código riesgo]],"-",IF(C_Corrupción[[#This Row],[Código riesgo]]&lt;&gt;C58,1,RIGHT(I58,1)+1)),"")</f>
        <v/>
      </c>
      <c r="J59" s="157"/>
      <c r="K59" s="157"/>
      <c r="L59" s="157"/>
      <c r="M59" s="87"/>
      <c r="N59" s="87"/>
      <c r="O59" s="87"/>
      <c r="P59" s="87"/>
      <c r="Q59" s="87"/>
      <c r="R59" s="87"/>
      <c r="S59" s="157"/>
      <c r="T59" s="157"/>
      <c r="U59" s="172"/>
      <c r="V59" s="172"/>
      <c r="W59" s="166" t="str">
        <f>_xlfn.XLOOKUP(CONCATENATE(C_Corrupción[[#This Row],[Momento de ejecución]],C_Corrupción[[#This Row],[Forma de ejecución]]),C_Atributos,C_Peso,"",0)</f>
        <v/>
      </c>
      <c r="X59" s="87" t="str">
        <f>IFERROR(_xlfn.XLOOKUP(C_Corrupción[[#This Row],[Momento de ejecución]],C_Momento,C_Efecto,,0),"")</f>
        <v/>
      </c>
      <c r="Y59" s="167">
        <f>IFERROR(IF(C_Corrupción[[#This Row],[Código riesgo]]&lt;&gt;C58,_xlfn.XLOOKUP(C_Corrupción[[#This Row],[Código riesgo]],R_Corrupción[Código riesgo],R_Corrupción[Pi %],,0)*IF(C_Corrupción[[#This Row],[Efecto]]="Probabilidad",1-C_Corrupción[[#This Row],[Peso]],1),IF(C_Corrupción[[#This Row],[Efecto]]="Probabilidad",Y58*(1-C_Corrupción[[#This Row],[Peso]]),Y58)),"")</f>
        <v>0.33599999999999997</v>
      </c>
      <c r="Z59" s="168">
        <f>IFERROR(IF(C_Corrupción[[#This Row],[Código riesgo]]&lt;&gt;C58,_xlfn.XLOOKUP(C_Corrupción[[#This Row],[Código riesgo]],R_Corrupción[Código riesgo],R_Corrupción[Ii %],,0)*IF(C_Corrupción[[#This Row],[Efecto]]="Impacto",1-C_Corrupción[[#This Row],[Peso]],1),IF(C_Corrupción[[#This Row],[Efecto]]="Impacto",Z58*(1-C_Corrupción[[#This Row],[Peso]]),Z58)),"")</f>
        <v>0.60000000000000009</v>
      </c>
    </row>
    <row r="60" spans="1:26" ht="82.5" x14ac:dyDescent="0.25">
      <c r="A60" s="163">
        <v>55</v>
      </c>
      <c r="B60" s="159" t="str">
        <f>Mapa_RC!$B$15</f>
        <v>Contabilidad y presupuesto</v>
      </c>
      <c r="C60" s="164" t="str">
        <f>Mapa_RC!C$15</f>
        <v>PRE-C3</v>
      </c>
      <c r="D60" s="165" t="s">
        <v>50</v>
      </c>
      <c r="E60" s="165" t="s">
        <v>51</v>
      </c>
      <c r="F60" s="165" t="s">
        <v>365</v>
      </c>
      <c r="G60" s="165" t="s">
        <v>53</v>
      </c>
      <c r="H60" s="80" t="s">
        <v>507</v>
      </c>
      <c r="I60" s="87" t="str">
        <f>IF(C_Corrupción[[#This Row],[Responsable de ejecutar]]&lt;&gt;"",CONCATENATE(C_Corrupción[[#This Row],[Código riesgo]],"-",IF(C_Corrupción[[#This Row],[Código riesgo]]&lt;&gt;C59,1,RIGHT(I59,1)+1)),"")</f>
        <v>PRE-C3-1</v>
      </c>
      <c r="J60" s="157" t="s">
        <v>508</v>
      </c>
      <c r="K60" s="157" t="s">
        <v>509</v>
      </c>
      <c r="L60" s="157" t="s">
        <v>510</v>
      </c>
      <c r="M60" s="87" t="s">
        <v>17</v>
      </c>
      <c r="N60" s="87" t="s">
        <v>30</v>
      </c>
      <c r="O60" s="87" t="s">
        <v>511</v>
      </c>
      <c r="P60" s="87" t="s">
        <v>131</v>
      </c>
      <c r="Q60" s="87" t="s">
        <v>483</v>
      </c>
      <c r="R60" s="87" t="s">
        <v>212</v>
      </c>
      <c r="S60" s="157" t="s">
        <v>518</v>
      </c>
      <c r="T60" s="157" t="s">
        <v>487</v>
      </c>
      <c r="U60" s="172">
        <v>45537</v>
      </c>
      <c r="V60" s="172">
        <v>45625</v>
      </c>
      <c r="W60" s="166">
        <f>_xlfn.XLOOKUP(CONCATENATE(C_Corrupción[[#This Row],[Momento de ejecución]],C_Corrupción[[#This Row],[Forma de ejecución]]),C_Atributos,C_Peso,"",0)</f>
        <v>0.4</v>
      </c>
      <c r="X60" s="87" t="str">
        <f>IFERROR(_xlfn.XLOOKUP(C_Corrupción[[#This Row],[Momento de ejecución]],C_Momento,C_Efecto,,0),"")</f>
        <v>Probabilidad</v>
      </c>
      <c r="Y60" s="167">
        <f>IFERROR(IF(C_Corrupción[[#This Row],[Código riesgo]]&lt;&gt;C59,_xlfn.XLOOKUP(C_Corrupción[[#This Row],[Código riesgo]],R_Corrupción[Código riesgo],R_Corrupción[Pi %],,0)*IF(C_Corrupción[[#This Row],[Efecto]]="Probabilidad",1-C_Corrupción[[#This Row],[Peso]],1),IF(C_Corrupción[[#This Row],[Efecto]]="Probabilidad",Y59*(1-C_Corrupción[[#This Row],[Peso]]),Y59)),"")</f>
        <v>0.36</v>
      </c>
      <c r="Z60" s="168">
        <f>IFERROR(IF(C_Corrupción[[#This Row],[Código riesgo]]&lt;&gt;C59,_xlfn.XLOOKUP(C_Corrupción[[#This Row],[Código riesgo]],R_Corrupción[Código riesgo],R_Corrupción[Ii %],,0)*IF(C_Corrupción[[#This Row],[Efecto]]="Impacto",1-C_Corrupción[[#This Row],[Peso]],1),IF(C_Corrupción[[#This Row],[Efecto]]="Impacto",Z59*(1-C_Corrupción[[#This Row],[Peso]]),Z59)),"")</f>
        <v>0.8</v>
      </c>
    </row>
    <row r="61" spans="1:26" ht="82.5" x14ac:dyDescent="0.25">
      <c r="A61" s="163">
        <v>56</v>
      </c>
      <c r="B61" s="159" t="str">
        <f>Mapa_RC!$B$15</f>
        <v>Contabilidad y presupuesto</v>
      </c>
      <c r="C61" s="169" t="str">
        <f>Mapa_RC!C$15</f>
        <v>PRE-C3</v>
      </c>
      <c r="D61" s="165" t="s">
        <v>54</v>
      </c>
      <c r="E61" s="165"/>
      <c r="F61" s="165" t="s">
        <v>56</v>
      </c>
      <c r="G61" s="165"/>
      <c r="H61" s="80" t="s">
        <v>514</v>
      </c>
      <c r="I61" s="87" t="str">
        <f>IF(C_Corrupción[[#This Row],[Responsable de ejecutar]]&lt;&gt;"",CONCATENATE(C_Corrupción[[#This Row],[Código riesgo]],"-",IF(C_Corrupción[[#This Row],[Código riesgo]]&lt;&gt;C60,1,RIGHT(I60,1)+1)),"")</f>
        <v>PRE-C3-2</v>
      </c>
      <c r="J61" s="157" t="s">
        <v>515</v>
      </c>
      <c r="K61" s="157" t="s">
        <v>516</v>
      </c>
      <c r="L61" s="157" t="s">
        <v>517</v>
      </c>
      <c r="M61" s="87" t="s">
        <v>20</v>
      </c>
      <c r="N61" s="87" t="s">
        <v>30</v>
      </c>
      <c r="O61" s="87" t="s">
        <v>109</v>
      </c>
      <c r="P61" s="87" t="s">
        <v>115</v>
      </c>
      <c r="Q61" s="87" t="s">
        <v>483</v>
      </c>
      <c r="R61" s="87" t="s">
        <v>212</v>
      </c>
      <c r="S61" s="157" t="s">
        <v>523</v>
      </c>
      <c r="T61" s="157" t="s">
        <v>524</v>
      </c>
      <c r="U61" s="172">
        <v>45383</v>
      </c>
      <c r="V61" s="172">
        <v>45443</v>
      </c>
      <c r="W61" s="166">
        <f>_xlfn.XLOOKUP(CONCATENATE(C_Corrupción[[#This Row],[Momento de ejecución]],C_Corrupción[[#This Row],[Forma de ejecución]]),C_Atributos,C_Peso,"",0)</f>
        <v>0.3</v>
      </c>
      <c r="X61" s="87" t="str">
        <f>IFERROR(_xlfn.XLOOKUP(C_Corrupción[[#This Row],[Momento de ejecución]],C_Momento,C_Efecto,,0),"")</f>
        <v>Probabilidad</v>
      </c>
      <c r="Y61" s="167">
        <f>IFERROR(IF(C_Corrupción[[#This Row],[Código riesgo]]&lt;&gt;C60,_xlfn.XLOOKUP(C_Corrupción[[#This Row],[Código riesgo]],R_Corrupción[Código riesgo],R_Corrupción[Pi %],,0)*IF(C_Corrupción[[#This Row],[Efecto]]="Probabilidad",1-C_Corrupción[[#This Row],[Peso]],1),IF(C_Corrupción[[#This Row],[Efecto]]="Probabilidad",Y60*(1-C_Corrupción[[#This Row],[Peso]]),Y60)),"")</f>
        <v>0.252</v>
      </c>
      <c r="Z61" s="168">
        <f>IFERROR(IF(C_Corrupción[[#This Row],[Código riesgo]]&lt;&gt;C60,_xlfn.XLOOKUP(C_Corrupción[[#This Row],[Código riesgo]],R_Corrupción[Código riesgo],R_Corrupción[Ii %],,0)*IF(C_Corrupción[[#This Row],[Efecto]]="Impacto",1-C_Corrupción[[#This Row],[Peso]],1),IF(C_Corrupción[[#This Row],[Efecto]]="Impacto",Z60*(1-C_Corrupción[[#This Row],[Peso]]),Z60)),"")</f>
        <v>0.8</v>
      </c>
    </row>
    <row r="62" spans="1:26" ht="82.5" x14ac:dyDescent="0.25">
      <c r="A62" s="163">
        <v>57</v>
      </c>
      <c r="B62" s="159" t="str">
        <f>Mapa_RC!$B$15</f>
        <v>Contabilidad y presupuesto</v>
      </c>
      <c r="C62" s="169" t="str">
        <f>Mapa_RC!C$15</f>
        <v>PRE-C3</v>
      </c>
      <c r="D62" s="165"/>
      <c r="E62" s="165" t="s">
        <v>59</v>
      </c>
      <c r="F62" s="165" t="s">
        <v>60</v>
      </c>
      <c r="G62" s="165"/>
      <c r="H62" s="80" t="s">
        <v>519</v>
      </c>
      <c r="I62" s="87" t="str">
        <f>IF(C_Corrupción[[#This Row],[Responsable de ejecutar]]&lt;&gt;"",CONCATENATE(C_Corrupción[[#This Row],[Código riesgo]],"-",IF(C_Corrupción[[#This Row],[Código riesgo]]&lt;&gt;C61,1,RIGHT(I61,1)+1)),"")</f>
        <v>PRE-C3-3</v>
      </c>
      <c r="J62" s="157" t="s">
        <v>520</v>
      </c>
      <c r="K62" s="157" t="s">
        <v>521</v>
      </c>
      <c r="L62" s="157" t="s">
        <v>522</v>
      </c>
      <c r="M62" s="87" t="s">
        <v>20</v>
      </c>
      <c r="N62" s="87" t="s">
        <v>30</v>
      </c>
      <c r="O62" s="87" t="s">
        <v>109</v>
      </c>
      <c r="P62" s="87" t="s">
        <v>131</v>
      </c>
      <c r="Q62" s="87" t="s">
        <v>483</v>
      </c>
      <c r="R62" s="87" t="s">
        <v>212</v>
      </c>
      <c r="S62" s="157" t="s">
        <v>512</v>
      </c>
      <c r="T62" s="157" t="s">
        <v>513</v>
      </c>
      <c r="U62" s="172">
        <v>45537</v>
      </c>
      <c r="V62" s="172">
        <v>45625</v>
      </c>
      <c r="W62" s="166">
        <f>_xlfn.XLOOKUP(CONCATENATE(C_Corrupción[[#This Row],[Momento de ejecución]],C_Corrupción[[#This Row],[Forma de ejecución]]),C_Atributos,C_Peso,"",0)</f>
        <v>0.3</v>
      </c>
      <c r="X62" s="87" t="str">
        <f>IFERROR(_xlfn.XLOOKUP(C_Corrupción[[#This Row],[Momento de ejecución]],C_Momento,C_Efecto,,0),"")</f>
        <v>Probabilidad</v>
      </c>
      <c r="Y62" s="167">
        <f>IFERROR(IF(C_Corrupción[[#This Row],[Código riesgo]]&lt;&gt;C61,_xlfn.XLOOKUP(C_Corrupción[[#This Row],[Código riesgo]],R_Corrupción[Código riesgo],R_Corrupción[Pi %],,0)*IF(C_Corrupción[[#This Row],[Efecto]]="Probabilidad",1-C_Corrupción[[#This Row],[Peso]],1),IF(C_Corrupción[[#This Row],[Efecto]]="Probabilidad",Y61*(1-C_Corrupción[[#This Row],[Peso]]),Y61)),"")</f>
        <v>0.1764</v>
      </c>
      <c r="Z62" s="168">
        <f>IFERROR(IF(C_Corrupción[[#This Row],[Código riesgo]]&lt;&gt;C61,_xlfn.XLOOKUP(C_Corrupción[[#This Row],[Código riesgo]],R_Corrupción[Código riesgo],R_Corrupción[Ii %],,0)*IF(C_Corrupción[[#This Row],[Efecto]]="Impacto",1-C_Corrupción[[#This Row],[Peso]],1),IF(C_Corrupción[[#This Row],[Efecto]]="Impacto",Z61*(1-C_Corrupción[[#This Row],[Peso]]),Z61)),"")</f>
        <v>0.8</v>
      </c>
    </row>
    <row r="63" spans="1:26" ht="99" x14ac:dyDescent="0.25">
      <c r="A63" s="163">
        <v>58</v>
      </c>
      <c r="B63" s="159" t="str">
        <f>Mapa_RC!$B$15</f>
        <v>Contabilidad y presupuesto</v>
      </c>
      <c r="C63" s="169" t="str">
        <f>Mapa_RC!C$15</f>
        <v>PRE-C3</v>
      </c>
      <c r="D63" s="165"/>
      <c r="E63" s="165"/>
      <c r="F63" s="165" t="s">
        <v>64</v>
      </c>
      <c r="G63" s="165"/>
      <c r="H63" s="80" t="s">
        <v>525</v>
      </c>
      <c r="I63" s="87" t="str">
        <f>IF(C_Corrupción[[#This Row],[Responsable de ejecutar]]&lt;&gt;"",CONCATENATE(C_Corrupción[[#This Row],[Código riesgo]],"-",IF(C_Corrupción[[#This Row],[Código riesgo]]&lt;&gt;C62,1,RIGHT(I62,1)+1)),"")</f>
        <v>PRE-C3-4</v>
      </c>
      <c r="J63" s="157" t="s">
        <v>373</v>
      </c>
      <c r="K63" s="157" t="s">
        <v>374</v>
      </c>
      <c r="L63" s="157" t="s">
        <v>526</v>
      </c>
      <c r="M63" s="87" t="s">
        <v>23</v>
      </c>
      <c r="N63" s="87" t="s">
        <v>30</v>
      </c>
      <c r="O63" s="87" t="s">
        <v>376</v>
      </c>
      <c r="P63" s="87" t="s">
        <v>115</v>
      </c>
      <c r="Q63" s="87" t="s">
        <v>377</v>
      </c>
      <c r="R63" s="87"/>
      <c r="S63" s="157"/>
      <c r="T63" s="157"/>
      <c r="U63" s="172"/>
      <c r="V63" s="172"/>
      <c r="W63" s="166">
        <f>_xlfn.XLOOKUP(CONCATENATE(C_Corrupción[[#This Row],[Momento de ejecución]],C_Corrupción[[#This Row],[Forma de ejecución]]),C_Atributos,C_Peso,"",0)</f>
        <v>0.25</v>
      </c>
      <c r="X63" s="87" t="str">
        <f>IFERROR(_xlfn.XLOOKUP(C_Corrupción[[#This Row],[Momento de ejecución]],C_Momento,C_Efecto,,0),"")</f>
        <v>Impacto</v>
      </c>
      <c r="Y63" s="167">
        <f>IFERROR(IF(C_Corrupción[[#This Row],[Código riesgo]]&lt;&gt;C62,_xlfn.XLOOKUP(C_Corrupción[[#This Row],[Código riesgo]],R_Corrupción[Código riesgo],R_Corrupción[Pi %],,0)*IF(C_Corrupción[[#This Row],[Efecto]]="Probabilidad",1-C_Corrupción[[#This Row],[Peso]],1),IF(C_Corrupción[[#This Row],[Efecto]]="Probabilidad",Y62*(1-C_Corrupción[[#This Row],[Peso]]),Y62)),"")</f>
        <v>0.1764</v>
      </c>
      <c r="Z63" s="168">
        <f>IFERROR(IF(C_Corrupción[[#This Row],[Código riesgo]]&lt;&gt;C62,_xlfn.XLOOKUP(C_Corrupción[[#This Row],[Código riesgo]],R_Corrupción[Código riesgo],R_Corrupción[Ii %],,0)*IF(C_Corrupción[[#This Row],[Efecto]]="Impacto",1-C_Corrupción[[#This Row],[Peso]],1),IF(C_Corrupción[[#This Row],[Efecto]]="Impacto",Z62*(1-C_Corrupción[[#This Row],[Peso]]),Z62)),"")</f>
        <v>0.60000000000000009</v>
      </c>
    </row>
    <row r="64" spans="1:26" ht="33" x14ac:dyDescent="0.25">
      <c r="A64" s="163">
        <v>59</v>
      </c>
      <c r="B64" s="159" t="str">
        <f>Mapa_RC!$B$15</f>
        <v>Contabilidad y presupuesto</v>
      </c>
      <c r="C64" s="169" t="str">
        <f>Mapa_RC!C$15</f>
        <v>PRE-C3</v>
      </c>
      <c r="D64" s="165" t="s">
        <v>66</v>
      </c>
      <c r="E64" s="165"/>
      <c r="F64" s="165" t="s">
        <v>68</v>
      </c>
      <c r="G64" s="165"/>
      <c r="H64" s="80"/>
      <c r="I64" s="87" t="str">
        <f>IF(C_Corrupción[[#This Row],[Responsable de ejecutar]]&lt;&gt;"",CONCATENATE(C_Corrupción[[#This Row],[Código riesgo]],"-",IF(C_Corrupción[[#This Row],[Código riesgo]]&lt;&gt;C63,1,RIGHT(I63,1)+1)),"")</f>
        <v/>
      </c>
      <c r="J64" s="157"/>
      <c r="K64" s="157"/>
      <c r="L64" s="157"/>
      <c r="M64" s="87"/>
      <c r="N64" s="87"/>
      <c r="O64" s="87"/>
      <c r="P64" s="87"/>
      <c r="Q64" s="87"/>
      <c r="R64" s="87"/>
      <c r="S64" s="157"/>
      <c r="T64" s="157"/>
      <c r="U64" s="172"/>
      <c r="V64" s="172"/>
      <c r="W64" s="166" t="str">
        <f>_xlfn.XLOOKUP(CONCATENATE(C_Corrupción[[#This Row],[Momento de ejecución]],C_Corrupción[[#This Row],[Forma de ejecución]]),C_Atributos,C_Peso,"",0)</f>
        <v/>
      </c>
      <c r="X64" s="87" t="str">
        <f>IFERROR(_xlfn.XLOOKUP(C_Corrupción[[#This Row],[Momento de ejecución]],C_Momento,C_Efecto,,0),"")</f>
        <v/>
      </c>
      <c r="Y64" s="167">
        <f>IFERROR(IF(C_Corrupción[[#This Row],[Código riesgo]]&lt;&gt;C63,_xlfn.XLOOKUP(C_Corrupción[[#This Row],[Código riesgo]],R_Corrupción[Código riesgo],R_Corrupción[Pi %],,0)*IF(C_Corrupción[[#This Row],[Efecto]]="Probabilidad",1-C_Corrupción[[#This Row],[Peso]],1),IF(C_Corrupción[[#This Row],[Efecto]]="Probabilidad",Y63*(1-C_Corrupción[[#This Row],[Peso]]),Y63)),"")</f>
        <v>0.1764</v>
      </c>
      <c r="Z64" s="168">
        <f>IFERROR(IF(C_Corrupción[[#This Row],[Código riesgo]]&lt;&gt;C63,_xlfn.XLOOKUP(C_Corrupción[[#This Row],[Código riesgo]],R_Corrupción[Código riesgo],R_Corrupción[Ii %],,0)*IF(C_Corrupción[[#This Row],[Efecto]]="Impacto",1-C_Corrupción[[#This Row],[Peso]],1),IF(C_Corrupción[[#This Row],[Efecto]]="Impacto",Z63*(1-C_Corrupción[[#This Row],[Peso]]),Z63)),"")</f>
        <v>0.60000000000000009</v>
      </c>
    </row>
    <row r="65" spans="1:53" ht="33" x14ac:dyDescent="0.25">
      <c r="A65" s="163">
        <v>60</v>
      </c>
      <c r="B65" s="159" t="str">
        <f>Mapa_RC!$B$15</f>
        <v>Contabilidad y presupuesto</v>
      </c>
      <c r="C65" s="169" t="str">
        <f>Mapa_RC!C$15</f>
        <v>PRE-C3</v>
      </c>
      <c r="D65" s="170" t="s">
        <v>378</v>
      </c>
      <c r="E65" s="170" t="s">
        <v>378</v>
      </c>
      <c r="F65" s="170" t="s">
        <v>378</v>
      </c>
      <c r="G65" s="164">
        <f>COUNTA(D60:G64)</f>
        <v>11</v>
      </c>
      <c r="H65" s="80"/>
      <c r="I65" s="87" t="str">
        <f>IF(C_Corrupción[[#This Row],[Responsable de ejecutar]]&lt;&gt;"",CONCATENATE(C_Corrupción[[#This Row],[Código riesgo]],"-",IF(C_Corrupción[[#This Row],[Código riesgo]]&lt;&gt;C64,1,RIGHT(I64,1)+1)),"")</f>
        <v/>
      </c>
      <c r="J65" s="157"/>
      <c r="K65" s="157"/>
      <c r="L65" s="157"/>
      <c r="M65" s="87"/>
      <c r="N65" s="87"/>
      <c r="O65" s="87"/>
      <c r="P65" s="87"/>
      <c r="Q65" s="87"/>
      <c r="R65" s="87"/>
      <c r="S65" s="157"/>
      <c r="T65" s="157"/>
      <c r="U65" s="172"/>
      <c r="V65" s="172"/>
      <c r="W65" s="166" t="str">
        <f>_xlfn.XLOOKUP(CONCATENATE(C_Corrupción[[#This Row],[Momento de ejecución]],C_Corrupción[[#This Row],[Forma de ejecución]]),C_Atributos,C_Peso,"",0)</f>
        <v/>
      </c>
      <c r="X65" s="87" t="str">
        <f>IFERROR(_xlfn.XLOOKUP(C_Corrupción[[#This Row],[Momento de ejecución]],C_Momento,C_Efecto,,0),"")</f>
        <v/>
      </c>
      <c r="Y65" s="167">
        <f>IFERROR(IF(C_Corrupción[[#This Row],[Código riesgo]]&lt;&gt;C64,_xlfn.XLOOKUP(C_Corrupción[[#This Row],[Código riesgo]],R_Corrupción[Código riesgo],R_Corrupción[Pi %],,0)*IF(C_Corrupción[[#This Row],[Efecto]]="Probabilidad",1-C_Corrupción[[#This Row],[Peso]],1),IF(C_Corrupción[[#This Row],[Efecto]]="Probabilidad",Y64*(1-C_Corrupción[[#This Row],[Peso]]),Y64)),"")</f>
        <v>0.1764</v>
      </c>
      <c r="Z65" s="168">
        <f>IFERROR(IF(C_Corrupción[[#This Row],[Código riesgo]]&lt;&gt;C64,_xlfn.XLOOKUP(C_Corrupción[[#This Row],[Código riesgo]],R_Corrupción[Código riesgo],R_Corrupción[Ii %],,0)*IF(C_Corrupción[[#This Row],[Efecto]]="Impacto",1-C_Corrupción[[#This Row],[Peso]],1),IF(C_Corrupción[[#This Row],[Efecto]]="Impacto",Z64*(1-C_Corrupción[[#This Row],[Peso]]),Z64)),"")</f>
        <v>0.60000000000000009</v>
      </c>
    </row>
    <row r="66" spans="1:53" ht="66" x14ac:dyDescent="0.25">
      <c r="A66" s="163">
        <v>61</v>
      </c>
      <c r="B66" s="159" t="str">
        <f>Mapa_RC!$B$16</f>
        <v>Apropiación social del conocimiento y del patrimonio</v>
      </c>
      <c r="C66" s="164" t="str">
        <f>Mapa_RC!C$16</f>
        <v>APR-C1</v>
      </c>
      <c r="D66" s="165" t="s">
        <v>50</v>
      </c>
      <c r="E66" s="165" t="s">
        <v>51</v>
      </c>
      <c r="F66" s="165" t="s">
        <v>365</v>
      </c>
      <c r="G66" s="165" t="s">
        <v>53</v>
      </c>
      <c r="H66" s="80" t="s">
        <v>527</v>
      </c>
      <c r="I66" s="87" t="str">
        <f>IF(C_Corrupción[[#This Row],[Responsable de ejecutar]]&lt;&gt;"",CONCATENATE(C_Corrupción[[#This Row],[Código riesgo]],"-",IF(C_Corrupción[[#This Row],[Código riesgo]]&lt;&gt;C65,1,RIGHT(I65,1)+1)),"")</f>
        <v>APR-C1-1</v>
      </c>
      <c r="J66" s="157" t="s">
        <v>528</v>
      </c>
      <c r="K66" s="157" t="s">
        <v>529</v>
      </c>
      <c r="L66" s="157" t="s">
        <v>530</v>
      </c>
      <c r="M66" s="87" t="s">
        <v>17</v>
      </c>
      <c r="N66" s="87" t="s">
        <v>30</v>
      </c>
      <c r="O66" s="87" t="s">
        <v>109</v>
      </c>
      <c r="P66" s="87" t="s">
        <v>115</v>
      </c>
      <c r="Q66" s="87" t="s">
        <v>531</v>
      </c>
      <c r="R66" s="87" t="s">
        <v>212</v>
      </c>
      <c r="S66" s="157" t="s">
        <v>532</v>
      </c>
      <c r="T66" s="157" t="s">
        <v>533</v>
      </c>
      <c r="U66" s="172">
        <v>45505</v>
      </c>
      <c r="V66" s="172">
        <v>45625</v>
      </c>
      <c r="W66" s="166">
        <f>_xlfn.XLOOKUP(CONCATENATE(C_Corrupción[[#This Row],[Momento de ejecución]],C_Corrupción[[#This Row],[Forma de ejecución]]),C_Atributos,C_Peso,"",0)</f>
        <v>0.4</v>
      </c>
      <c r="X66" s="87" t="str">
        <f>IFERROR(_xlfn.XLOOKUP(C_Corrupción[[#This Row],[Momento de ejecución]],C_Momento,C_Efecto,,0),"")</f>
        <v>Probabilidad</v>
      </c>
      <c r="Y66" s="167">
        <f>IFERROR(IF(C_Corrupción[[#This Row],[Código riesgo]]&lt;&gt;C65,_xlfn.XLOOKUP(C_Corrupción[[#This Row],[Código riesgo]],R_Corrupción[Código riesgo],R_Corrupción[Pi %],,0)*IF(C_Corrupción[[#This Row],[Efecto]]="Probabilidad",1-C_Corrupción[[#This Row],[Peso]],1),IF(C_Corrupción[[#This Row],[Efecto]]="Probabilidad",Y65*(1-C_Corrupción[[#This Row],[Peso]]),Y65)),"")</f>
        <v>0.24</v>
      </c>
      <c r="Z66" s="168">
        <f>IFERROR(IF(C_Corrupción[[#This Row],[Código riesgo]]&lt;&gt;C65,_xlfn.XLOOKUP(C_Corrupción[[#This Row],[Código riesgo]],R_Corrupción[Código riesgo],R_Corrupción[Ii %],,0)*IF(C_Corrupción[[#This Row],[Efecto]]="Impacto",1-C_Corrupción[[#This Row],[Peso]],1),IF(C_Corrupción[[#This Row],[Efecto]]="Impacto",Z65*(1-C_Corrupción[[#This Row],[Peso]]),Z65)),"")</f>
        <v>1</v>
      </c>
    </row>
    <row r="67" spans="1:53" ht="66" x14ac:dyDescent="0.25">
      <c r="A67" s="163">
        <v>62</v>
      </c>
      <c r="B67" s="159" t="str">
        <f>Mapa_RC!$B$16</f>
        <v>Apropiación social del conocimiento y del patrimonio</v>
      </c>
      <c r="C67" s="169" t="str">
        <f>Mapa_RC!C$16</f>
        <v>APR-C1</v>
      </c>
      <c r="D67" s="165" t="s">
        <v>54</v>
      </c>
      <c r="E67" s="165"/>
      <c r="F67" s="165" t="s">
        <v>56</v>
      </c>
      <c r="G67" s="165"/>
      <c r="H67" s="80" t="s">
        <v>534</v>
      </c>
      <c r="I67" s="87" t="str">
        <f>IF(C_Corrupción[[#This Row],[Responsable de ejecutar]]&lt;&gt;"",CONCATENATE(C_Corrupción[[#This Row],[Código riesgo]],"-",IF(C_Corrupción[[#This Row],[Código riesgo]]&lt;&gt;C66,1,RIGHT(I66,1)+1)),"")</f>
        <v>APR-C1-2</v>
      </c>
      <c r="J67" s="157" t="s">
        <v>535</v>
      </c>
      <c r="K67" s="157" t="s">
        <v>536</v>
      </c>
      <c r="L67" s="157" t="s">
        <v>537</v>
      </c>
      <c r="M67" s="87" t="s">
        <v>17</v>
      </c>
      <c r="N67" s="87" t="s">
        <v>30</v>
      </c>
      <c r="O67" s="87" t="s">
        <v>538</v>
      </c>
      <c r="P67" s="87" t="s">
        <v>115</v>
      </c>
      <c r="Q67" s="163" t="s">
        <v>539</v>
      </c>
      <c r="R67" s="87" t="s">
        <v>212</v>
      </c>
      <c r="S67" s="157" t="s">
        <v>540</v>
      </c>
      <c r="T67" s="157" t="s">
        <v>533</v>
      </c>
      <c r="U67" s="172">
        <v>45474</v>
      </c>
      <c r="V67" s="172">
        <v>45534</v>
      </c>
      <c r="W67" s="166">
        <f>_xlfn.XLOOKUP(CONCATENATE(C_Corrupción[[#This Row],[Momento de ejecución]],C_Corrupción[[#This Row],[Forma de ejecución]]),C_Atributos,C_Peso,"",0)</f>
        <v>0.4</v>
      </c>
      <c r="X67" s="87" t="str">
        <f>IFERROR(_xlfn.XLOOKUP(C_Corrupción[[#This Row],[Momento de ejecución]],C_Momento,C_Efecto,,0),"")</f>
        <v>Probabilidad</v>
      </c>
      <c r="Y67" s="167">
        <f>IFERROR(IF(C_Corrupción[[#This Row],[Código riesgo]]&lt;&gt;C66,_xlfn.XLOOKUP(C_Corrupción[[#This Row],[Código riesgo]],R_Corrupción[Código riesgo],R_Corrupción[Pi %],,0)*IF(C_Corrupción[[#This Row],[Efecto]]="Probabilidad",1-C_Corrupción[[#This Row],[Peso]],1),IF(C_Corrupción[[#This Row],[Efecto]]="Probabilidad",Y66*(1-C_Corrupción[[#This Row],[Peso]]),Y66)),"")</f>
        <v>0.14399999999999999</v>
      </c>
      <c r="Z67" s="168">
        <f>IFERROR(IF(C_Corrupción[[#This Row],[Código riesgo]]&lt;&gt;C66,_xlfn.XLOOKUP(C_Corrupción[[#This Row],[Código riesgo]],R_Corrupción[Código riesgo],R_Corrupción[Ii %],,0)*IF(C_Corrupción[[#This Row],[Efecto]]="Impacto",1-C_Corrupción[[#This Row],[Peso]],1),IF(C_Corrupción[[#This Row],[Efecto]]="Impacto",Z66*(1-C_Corrupción[[#This Row],[Peso]]),Z66)),"")</f>
        <v>1</v>
      </c>
    </row>
    <row r="68" spans="1:53" ht="66" x14ac:dyDescent="0.25">
      <c r="A68" s="163">
        <v>63</v>
      </c>
      <c r="B68" s="159" t="str">
        <f>Mapa_RC!$B$16</f>
        <v>Apropiación social del conocimiento y del patrimonio</v>
      </c>
      <c r="C68" s="169" t="str">
        <f>Mapa_RC!C$16</f>
        <v>APR-C1</v>
      </c>
      <c r="D68" s="165" t="s">
        <v>58</v>
      </c>
      <c r="E68" s="165" t="s">
        <v>59</v>
      </c>
      <c r="F68" s="165" t="s">
        <v>60</v>
      </c>
      <c r="G68" s="165"/>
      <c r="H68" s="80" t="s">
        <v>541</v>
      </c>
      <c r="I68" s="87" t="str">
        <f>IF(C_Corrupción[[#This Row],[Responsable de ejecutar]]&lt;&gt;"",CONCATENATE(C_Corrupción[[#This Row],[Código riesgo]],"-",IF(C_Corrupción[[#This Row],[Código riesgo]]&lt;&gt;C67,1,RIGHT(I67,1)+1)),"")</f>
        <v>APR-C1-3</v>
      </c>
      <c r="J68" s="157" t="s">
        <v>528</v>
      </c>
      <c r="K68" s="157" t="s">
        <v>542</v>
      </c>
      <c r="L68" s="157" t="s">
        <v>543</v>
      </c>
      <c r="M68" s="87" t="s">
        <v>20</v>
      </c>
      <c r="N68" s="87" t="s">
        <v>30</v>
      </c>
      <c r="O68" s="87" t="s">
        <v>109</v>
      </c>
      <c r="P68" s="87" t="s">
        <v>384</v>
      </c>
      <c r="Q68" s="87" t="s">
        <v>531</v>
      </c>
      <c r="R68" s="87" t="s">
        <v>212</v>
      </c>
      <c r="S68" s="157" t="s">
        <v>544</v>
      </c>
      <c r="T68" s="157" t="s">
        <v>545</v>
      </c>
      <c r="U68" s="172">
        <v>45505</v>
      </c>
      <c r="V68" s="172">
        <v>45596</v>
      </c>
      <c r="W68" s="166">
        <f>_xlfn.XLOOKUP(CONCATENATE(C_Corrupción[[#This Row],[Momento de ejecución]],C_Corrupción[[#This Row],[Forma de ejecución]]),C_Atributos,C_Peso,"",0)</f>
        <v>0.3</v>
      </c>
      <c r="X68" s="87" t="str">
        <f>IFERROR(_xlfn.XLOOKUP(C_Corrupción[[#This Row],[Momento de ejecución]],C_Momento,C_Efecto,,0),"")</f>
        <v>Probabilidad</v>
      </c>
      <c r="Y68" s="167">
        <f>IFERROR(IF(C_Corrupción[[#This Row],[Código riesgo]]&lt;&gt;C67,_xlfn.XLOOKUP(C_Corrupción[[#This Row],[Código riesgo]],R_Corrupción[Código riesgo],R_Corrupción[Pi %],,0)*IF(C_Corrupción[[#This Row],[Efecto]]="Probabilidad",1-C_Corrupción[[#This Row],[Peso]],1),IF(C_Corrupción[[#This Row],[Efecto]]="Probabilidad",Y67*(1-C_Corrupción[[#This Row],[Peso]]),Y67)),"")</f>
        <v>0.10079999999999999</v>
      </c>
      <c r="Z68" s="168">
        <f>IFERROR(IF(C_Corrupción[[#This Row],[Código riesgo]]&lt;&gt;C67,_xlfn.XLOOKUP(C_Corrupción[[#This Row],[Código riesgo]],R_Corrupción[Código riesgo],R_Corrupción[Ii %],,0)*IF(C_Corrupción[[#This Row],[Efecto]]="Impacto",1-C_Corrupción[[#This Row],[Peso]],1),IF(C_Corrupción[[#This Row],[Efecto]]="Impacto",Z67*(1-C_Corrupción[[#This Row],[Peso]]),Z67)),"")</f>
        <v>1</v>
      </c>
    </row>
    <row r="69" spans="1:53" ht="99" x14ac:dyDescent="0.25">
      <c r="A69" s="163">
        <v>64</v>
      </c>
      <c r="B69" s="159" t="str">
        <f>Mapa_RC!$B$16</f>
        <v>Apropiación social del conocimiento y del patrimonio</v>
      </c>
      <c r="C69" s="169" t="str">
        <f>Mapa_RC!C$16</f>
        <v>APR-C1</v>
      </c>
      <c r="D69" s="165"/>
      <c r="E69" s="165"/>
      <c r="F69" s="165" t="s">
        <v>64</v>
      </c>
      <c r="G69" s="165"/>
      <c r="H69" s="80" t="s">
        <v>546</v>
      </c>
      <c r="I69" s="87" t="str">
        <f>IF(C_Corrupción[[#This Row],[Responsable de ejecutar]]&lt;&gt;"",CONCATENATE(C_Corrupción[[#This Row],[Código riesgo]],"-",IF(C_Corrupción[[#This Row],[Código riesgo]]&lt;&gt;C68,1,RIGHT(I68,1)+1)),"")</f>
        <v>APR-C1-4</v>
      </c>
      <c r="J69" s="157" t="s">
        <v>373</v>
      </c>
      <c r="K69" s="157" t="s">
        <v>374</v>
      </c>
      <c r="L69" s="157" t="s">
        <v>375</v>
      </c>
      <c r="M69" s="87" t="s">
        <v>23</v>
      </c>
      <c r="N69" s="87" t="s">
        <v>30</v>
      </c>
      <c r="O69" s="87" t="s">
        <v>376</v>
      </c>
      <c r="P69" s="87" t="s">
        <v>115</v>
      </c>
      <c r="Q69" s="87" t="s">
        <v>377</v>
      </c>
      <c r="R69" s="87"/>
      <c r="S69" s="157"/>
      <c r="T69" s="157"/>
      <c r="U69" s="172"/>
      <c r="V69" s="172"/>
      <c r="W69" s="166">
        <f>_xlfn.XLOOKUP(CONCATENATE(C_Corrupción[[#This Row],[Momento de ejecución]],C_Corrupción[[#This Row],[Forma de ejecución]]),C_Atributos,C_Peso,"",0)</f>
        <v>0.25</v>
      </c>
      <c r="X69" s="87" t="str">
        <f>IFERROR(_xlfn.XLOOKUP(C_Corrupción[[#This Row],[Momento de ejecución]],C_Momento,C_Efecto,,0),"")</f>
        <v>Impacto</v>
      </c>
      <c r="Y69" s="167">
        <f>IFERROR(IF(C_Corrupción[[#This Row],[Código riesgo]]&lt;&gt;C68,_xlfn.XLOOKUP(C_Corrupción[[#This Row],[Código riesgo]],R_Corrupción[Código riesgo],R_Corrupción[Pi %],,0)*IF(C_Corrupción[[#This Row],[Efecto]]="Probabilidad",1-C_Corrupción[[#This Row],[Peso]],1),IF(C_Corrupción[[#This Row],[Efecto]]="Probabilidad",Y68*(1-C_Corrupción[[#This Row],[Peso]]),Y68)),"")</f>
        <v>0.10079999999999999</v>
      </c>
      <c r="Z69" s="168">
        <f>IFERROR(IF(C_Corrupción[[#This Row],[Código riesgo]]&lt;&gt;C68,_xlfn.XLOOKUP(C_Corrupción[[#This Row],[Código riesgo]],R_Corrupción[Código riesgo],R_Corrupción[Ii %],,0)*IF(C_Corrupción[[#This Row],[Efecto]]="Impacto",1-C_Corrupción[[#This Row],[Peso]],1),IF(C_Corrupción[[#This Row],[Efecto]]="Impacto",Z68*(1-C_Corrupción[[#This Row],[Peso]]),Z68)),"")</f>
        <v>0.75</v>
      </c>
    </row>
    <row r="70" spans="1:53" ht="66" x14ac:dyDescent="0.25">
      <c r="A70" s="163">
        <v>65</v>
      </c>
      <c r="B70" s="159" t="str">
        <f>Mapa_RC!$B$16</f>
        <v>Apropiación social del conocimiento y del patrimonio</v>
      </c>
      <c r="C70" s="169" t="str">
        <f>Mapa_RC!C$16</f>
        <v>APR-C1</v>
      </c>
      <c r="D70" s="165" t="s">
        <v>66</v>
      </c>
      <c r="E70" s="165" t="s">
        <v>67</v>
      </c>
      <c r="F70" s="165"/>
      <c r="G70" s="165"/>
      <c r="H70" s="80"/>
      <c r="I70" s="87" t="str">
        <f>IF(C_Corrupción[[#This Row],[Responsable de ejecutar]]&lt;&gt;"",CONCATENATE(C_Corrupción[[#This Row],[Código riesgo]],"-",IF(C_Corrupción[[#This Row],[Código riesgo]]&lt;&gt;C69,1,RIGHT(I69,1)+1)),"")</f>
        <v/>
      </c>
      <c r="J70" s="157"/>
      <c r="K70" s="157"/>
      <c r="L70" s="157"/>
      <c r="M70" s="87"/>
      <c r="N70" s="87"/>
      <c r="O70" s="87"/>
      <c r="P70" s="87"/>
      <c r="Q70" s="87"/>
      <c r="R70" s="87"/>
      <c r="S70" s="157"/>
      <c r="T70" s="157"/>
      <c r="U70" s="172"/>
      <c r="V70" s="172"/>
      <c r="W70" s="166" t="str">
        <f>_xlfn.XLOOKUP(CONCATENATE(C_Corrupción[[#This Row],[Momento de ejecución]],C_Corrupción[[#This Row],[Forma de ejecución]]),C_Atributos,C_Peso,"",0)</f>
        <v/>
      </c>
      <c r="X70" s="87" t="str">
        <f>IFERROR(_xlfn.XLOOKUP(C_Corrupción[[#This Row],[Momento de ejecución]],C_Momento,C_Efecto,,0),"")</f>
        <v/>
      </c>
      <c r="Y70" s="167">
        <f>IFERROR(IF(C_Corrupción[[#This Row],[Código riesgo]]&lt;&gt;C69,_xlfn.XLOOKUP(C_Corrupción[[#This Row],[Código riesgo]],R_Corrupción[Código riesgo],R_Corrupción[Pi %],,0)*IF(C_Corrupción[[#This Row],[Efecto]]="Probabilidad",1-C_Corrupción[[#This Row],[Peso]],1),IF(C_Corrupción[[#This Row],[Efecto]]="Probabilidad",Y69*(1-C_Corrupción[[#This Row],[Peso]]),Y69)),"")</f>
        <v>0.10079999999999999</v>
      </c>
      <c r="Z70" s="168">
        <f>IFERROR(IF(C_Corrupción[[#This Row],[Código riesgo]]&lt;&gt;C69,_xlfn.XLOOKUP(C_Corrupción[[#This Row],[Código riesgo]],R_Corrupción[Código riesgo],R_Corrupción[Ii %],,0)*IF(C_Corrupción[[#This Row],[Efecto]]="Impacto",1-C_Corrupción[[#This Row],[Peso]],1),IF(C_Corrupción[[#This Row],[Efecto]]="Impacto",Z69*(1-C_Corrupción[[#This Row],[Peso]]),Z69)),"")</f>
        <v>0.75</v>
      </c>
    </row>
    <row r="71" spans="1:53" ht="66" x14ac:dyDescent="0.25">
      <c r="A71" s="163">
        <v>66</v>
      </c>
      <c r="B71" s="159" t="str">
        <f>Mapa_RC!$B$16</f>
        <v>Apropiación social del conocimiento y del patrimonio</v>
      </c>
      <c r="C71" s="169" t="str">
        <f>Mapa_RC!C$16</f>
        <v>APR-C1</v>
      </c>
      <c r="D71" s="170" t="s">
        <v>378</v>
      </c>
      <c r="E71" s="170" t="s">
        <v>378</v>
      </c>
      <c r="F71" s="170" t="s">
        <v>378</v>
      </c>
      <c r="G71" s="164">
        <f>COUNTA(D66:G70)</f>
        <v>12</v>
      </c>
      <c r="H71" s="80"/>
      <c r="I71" s="87" t="str">
        <f>IF(C_Corrupción[[#This Row],[Responsable de ejecutar]]&lt;&gt;"",CONCATENATE(C_Corrupción[[#This Row],[Código riesgo]],"-",IF(C_Corrupción[[#This Row],[Código riesgo]]&lt;&gt;C70,1,RIGHT(I70,1)+1)),"")</f>
        <v/>
      </c>
      <c r="J71" s="157"/>
      <c r="K71" s="157"/>
      <c r="L71" s="157"/>
      <c r="M71" s="87"/>
      <c r="N71" s="87"/>
      <c r="O71" s="87"/>
      <c r="P71" s="87"/>
      <c r="Q71" s="87"/>
      <c r="R71" s="87"/>
      <c r="S71" s="157"/>
      <c r="T71" s="157"/>
      <c r="U71" s="172"/>
      <c r="V71" s="172"/>
      <c r="W71" s="166" t="str">
        <f>_xlfn.XLOOKUP(CONCATENATE(C_Corrupción[[#This Row],[Momento de ejecución]],C_Corrupción[[#This Row],[Forma de ejecución]]),C_Atributos,C_Peso,"",0)</f>
        <v/>
      </c>
      <c r="X71" s="87" t="str">
        <f>IFERROR(_xlfn.XLOOKUP(C_Corrupción[[#This Row],[Momento de ejecución]],C_Momento,C_Efecto,,0),"")</f>
        <v/>
      </c>
      <c r="Y71" s="167">
        <f>IFERROR(IF(C_Corrupción[[#This Row],[Código riesgo]]&lt;&gt;C70,_xlfn.XLOOKUP(C_Corrupción[[#This Row],[Código riesgo]],R_Corrupción[Código riesgo],R_Corrupción[Pi %],,0)*IF(C_Corrupción[[#This Row],[Efecto]]="Probabilidad",1-C_Corrupción[[#This Row],[Peso]],1),IF(C_Corrupción[[#This Row],[Efecto]]="Probabilidad",Y70*(1-C_Corrupción[[#This Row],[Peso]]),Y70)),"")</f>
        <v>0.10079999999999999</v>
      </c>
      <c r="Z71" s="168">
        <f>IFERROR(IF(C_Corrupción[[#This Row],[Código riesgo]]&lt;&gt;C70,_xlfn.XLOOKUP(C_Corrupción[[#This Row],[Código riesgo]],R_Corrupción[Código riesgo],R_Corrupción[Ii %],,0)*IF(C_Corrupción[[#This Row],[Efecto]]="Impacto",1-C_Corrupción[[#This Row],[Peso]],1),IF(C_Corrupción[[#This Row],[Efecto]]="Impacto",Z70*(1-C_Corrupción[[#This Row],[Peso]]),Z70)),"")</f>
        <v>0.75</v>
      </c>
    </row>
    <row r="72" spans="1:53" ht="132" x14ac:dyDescent="0.25">
      <c r="A72" s="163">
        <v>67</v>
      </c>
      <c r="B72" s="159" t="str">
        <f>Mapa_RC!$B$17</f>
        <v>Gestión de bienes y servicios</v>
      </c>
      <c r="C72" s="164" t="str">
        <f>Mapa_RC!C$17</f>
        <v>ADM-C1</v>
      </c>
      <c r="D72" s="165" t="s">
        <v>50</v>
      </c>
      <c r="E72" s="165" t="s">
        <v>51</v>
      </c>
      <c r="F72" s="165" t="s">
        <v>52</v>
      </c>
      <c r="G72" s="165" t="s">
        <v>53</v>
      </c>
      <c r="H72" s="80" t="s">
        <v>547</v>
      </c>
      <c r="I72" s="87" t="str">
        <f>IF(C_Corrupción[[#This Row],[Responsable de ejecutar]]&lt;&gt;"",CONCATENATE(C_Corrupción[[#This Row],[Código riesgo]],"-",IF(C_Corrupción[[#This Row],[Código riesgo]]&lt;&gt;C71,1,RIGHT(I71,1)+1)),"")</f>
        <v>ADM-C1-1</v>
      </c>
      <c r="J72" s="157" t="s">
        <v>548</v>
      </c>
      <c r="K72" s="157" t="s">
        <v>549</v>
      </c>
      <c r="L72" s="157" t="s">
        <v>550</v>
      </c>
      <c r="M72" s="87" t="s">
        <v>17</v>
      </c>
      <c r="N72" s="87" t="s">
        <v>30</v>
      </c>
      <c r="O72" s="87" t="s">
        <v>551</v>
      </c>
      <c r="P72" s="87" t="s">
        <v>115</v>
      </c>
      <c r="Q72" s="87" t="s">
        <v>552</v>
      </c>
      <c r="R72" s="87" t="s">
        <v>212</v>
      </c>
      <c r="S72" s="157" t="s">
        <v>553</v>
      </c>
      <c r="T72" s="157" t="s">
        <v>554</v>
      </c>
      <c r="U72" s="172">
        <v>45506</v>
      </c>
      <c r="V72" s="172">
        <v>45625</v>
      </c>
      <c r="W72" s="166">
        <f>_xlfn.XLOOKUP(CONCATENATE(C_Corrupción[[#This Row],[Momento de ejecución]],C_Corrupción[[#This Row],[Forma de ejecución]]),C_Atributos,C_Peso,"",0)</f>
        <v>0.4</v>
      </c>
      <c r="X72" s="87" t="str">
        <f>IFERROR(_xlfn.XLOOKUP(C_Corrupción[[#This Row],[Momento de ejecución]],C_Momento,C_Efecto,,0),"")</f>
        <v>Probabilidad</v>
      </c>
      <c r="Y72" s="167">
        <f>IFERROR(IF(C_Corrupción[[#This Row],[Código riesgo]]&lt;&gt;C71,_xlfn.XLOOKUP(C_Corrupción[[#This Row],[Código riesgo]],R_Corrupción[Código riesgo],R_Corrupción[Pi %],,0)*IF(C_Corrupción[[#This Row],[Efecto]]="Probabilidad",1-C_Corrupción[[#This Row],[Peso]],1),IF(C_Corrupción[[#This Row],[Efecto]]="Probabilidad",Y71*(1-C_Corrupción[[#This Row],[Peso]]),Y71)),"")</f>
        <v>0.6</v>
      </c>
      <c r="Z72" s="168">
        <f>IFERROR(IF(C_Corrupción[[#This Row],[Código riesgo]]&lt;&gt;C71,_xlfn.XLOOKUP(C_Corrupción[[#This Row],[Código riesgo]],R_Corrupción[Código riesgo],R_Corrupción[Ii %],,0)*IF(C_Corrupción[[#This Row],[Efecto]]="Impacto",1-C_Corrupción[[#This Row],[Peso]],1),IF(C_Corrupción[[#This Row],[Efecto]]="Impacto",Z71*(1-C_Corrupción[[#This Row],[Peso]]),Z71)),"")</f>
        <v>0.8</v>
      </c>
      <c r="AM72" s="16"/>
      <c r="AN72" s="16"/>
      <c r="AO72" s="16"/>
      <c r="AP72" s="16"/>
      <c r="AQ72" s="16"/>
      <c r="AR72" s="16"/>
      <c r="AS72" s="16"/>
      <c r="AT72" s="16"/>
      <c r="AU72" s="16"/>
      <c r="AV72" s="16"/>
      <c r="AW72" s="16"/>
      <c r="AX72" s="16"/>
      <c r="AY72" s="16"/>
      <c r="AZ72" s="16"/>
      <c r="BA72" s="16"/>
    </row>
    <row r="73" spans="1:53" ht="115.5" x14ac:dyDescent="0.25">
      <c r="A73" s="163">
        <v>68</v>
      </c>
      <c r="B73" s="159" t="str">
        <f>Mapa_RC!$B$17</f>
        <v>Gestión de bienes y servicios</v>
      </c>
      <c r="C73" s="169" t="str">
        <f>Mapa_RC!C$17</f>
        <v>ADM-C1</v>
      </c>
      <c r="D73" s="165" t="s">
        <v>54</v>
      </c>
      <c r="E73" s="165"/>
      <c r="F73" s="165" t="s">
        <v>56</v>
      </c>
      <c r="G73" s="165"/>
      <c r="H73" s="80" t="s">
        <v>555</v>
      </c>
      <c r="I73" s="87" t="s">
        <v>556</v>
      </c>
      <c r="J73" s="157" t="s">
        <v>557</v>
      </c>
      <c r="K73" s="157" t="s">
        <v>558</v>
      </c>
      <c r="L73" s="157" t="s">
        <v>559</v>
      </c>
      <c r="M73" s="87" t="s">
        <v>20</v>
      </c>
      <c r="N73" s="87" t="s">
        <v>30</v>
      </c>
      <c r="O73" s="87" t="s">
        <v>560</v>
      </c>
      <c r="P73" s="87" t="s">
        <v>115</v>
      </c>
      <c r="Q73" s="87" t="s">
        <v>561</v>
      </c>
      <c r="R73" s="87" t="s">
        <v>212</v>
      </c>
      <c r="S73" s="157" t="s">
        <v>562</v>
      </c>
      <c r="T73" s="157" t="s">
        <v>563</v>
      </c>
      <c r="U73" s="172">
        <v>45537</v>
      </c>
      <c r="V73" s="172">
        <v>45657</v>
      </c>
      <c r="W73" s="166">
        <f>_xlfn.XLOOKUP(CONCATENATE(C_Corrupción[[#This Row],[Momento de ejecución]],C_Corrupción[[#This Row],[Forma de ejecución]]),C_Atributos,C_Peso,"",0)</f>
        <v>0.3</v>
      </c>
      <c r="X73" s="87" t="str">
        <f>IFERROR(_xlfn.XLOOKUP(C_Corrupción[[#This Row],[Momento de ejecución]],C_Momento,C_Efecto,,0),"")</f>
        <v>Probabilidad</v>
      </c>
      <c r="Y73" s="167">
        <f>IFERROR(IF(C_Corrupción[[#This Row],[Código riesgo]]&lt;&gt;C72,_xlfn.XLOOKUP(C_Corrupción[[#This Row],[Código riesgo]],R_Corrupción[Código riesgo],R_Corrupción[Pi %],,0)*IF(C_Corrupción[[#This Row],[Efecto]]="Probabilidad",1-C_Corrupción[[#This Row],[Peso]],1),IF(C_Corrupción[[#This Row],[Efecto]]="Probabilidad",Y72*(1-C_Corrupción[[#This Row],[Peso]]),Y72)),"")</f>
        <v>0.42</v>
      </c>
      <c r="Z73" s="168">
        <f>IFERROR(IF(C_Corrupción[[#This Row],[Código riesgo]]&lt;&gt;C72,_xlfn.XLOOKUP(C_Corrupción[[#This Row],[Código riesgo]],R_Corrupción[Código riesgo],R_Corrupción[Ii %],,0)*IF(C_Corrupción[[#This Row],[Efecto]]="Impacto",1-C_Corrupción[[#This Row],[Peso]],1),IF(C_Corrupción[[#This Row],[Efecto]]="Impacto",Z72*(1-C_Corrupción[[#This Row],[Peso]]),Z72)),"")</f>
        <v>0.8</v>
      </c>
      <c r="AM73" s="16"/>
      <c r="AN73" s="16"/>
      <c r="AO73" s="16"/>
      <c r="AP73" s="16"/>
      <c r="AQ73" s="16"/>
      <c r="AR73" s="16"/>
      <c r="AS73" s="16"/>
      <c r="AT73" s="16"/>
      <c r="AU73" s="16"/>
      <c r="AV73" s="16"/>
      <c r="AW73" s="16"/>
      <c r="AX73" s="16"/>
      <c r="AY73" s="16"/>
      <c r="AZ73" s="16"/>
      <c r="BA73" s="16"/>
    </row>
    <row r="74" spans="1:53" ht="99" x14ac:dyDescent="0.25">
      <c r="A74" s="163">
        <v>69</v>
      </c>
      <c r="B74" s="159" t="str">
        <f>Mapa_RC!$B$17</f>
        <v>Gestión de bienes y servicios</v>
      </c>
      <c r="C74" s="169" t="str">
        <f>Mapa_RC!C$17</f>
        <v>ADM-C1</v>
      </c>
      <c r="D74" s="165"/>
      <c r="E74" s="165"/>
      <c r="F74" s="165" t="s">
        <v>60</v>
      </c>
      <c r="G74" s="165"/>
      <c r="H74" s="80" t="s">
        <v>564</v>
      </c>
      <c r="I74" s="87" t="str">
        <f>IF(C_Corrupción[[#This Row],[Responsable de ejecutar]]&lt;&gt;"",CONCATENATE(C_Corrupción[[#This Row],[Código riesgo]],"-",IF(C_Corrupción[[#This Row],[Código riesgo]]&lt;&gt;C73,1,RIGHT(I73,1)+1)),"")</f>
        <v>ADM-C1-3</v>
      </c>
      <c r="J74" s="157" t="s">
        <v>373</v>
      </c>
      <c r="K74" s="157" t="s">
        <v>374</v>
      </c>
      <c r="L74" s="157" t="s">
        <v>375</v>
      </c>
      <c r="M74" s="87" t="s">
        <v>23</v>
      </c>
      <c r="N74" s="87" t="s">
        <v>30</v>
      </c>
      <c r="O74" s="87" t="s">
        <v>376</v>
      </c>
      <c r="P74" s="87" t="s">
        <v>115</v>
      </c>
      <c r="Q74" s="87" t="s">
        <v>377</v>
      </c>
      <c r="R74" s="87"/>
      <c r="S74" s="157"/>
      <c r="T74" s="157"/>
      <c r="U74" s="172"/>
      <c r="V74" s="172"/>
      <c r="W74" s="166">
        <f>_xlfn.XLOOKUP(CONCATENATE(C_Corrupción[[#This Row],[Momento de ejecución]],C_Corrupción[[#This Row],[Forma de ejecución]]),C_Atributos,C_Peso,"",0)</f>
        <v>0.25</v>
      </c>
      <c r="X74" s="87" t="str">
        <f>IFERROR(_xlfn.XLOOKUP(C_Corrupción[[#This Row],[Momento de ejecución]],C_Momento,C_Efecto,,0),"")</f>
        <v>Impacto</v>
      </c>
      <c r="Y74" s="167">
        <f>IFERROR(IF(C_Corrupción[[#This Row],[Código riesgo]]&lt;&gt;C73,_xlfn.XLOOKUP(C_Corrupción[[#This Row],[Código riesgo]],R_Corrupción[Código riesgo],R_Corrupción[Pi %],,0)*IF(C_Corrupción[[#This Row],[Efecto]]="Probabilidad",1-C_Corrupción[[#This Row],[Peso]],1),IF(C_Corrupción[[#This Row],[Efecto]]="Probabilidad",Y73*(1-C_Corrupción[[#This Row],[Peso]]),Y73)),"")</f>
        <v>0.42</v>
      </c>
      <c r="Z74" s="168">
        <f>IFERROR(IF(C_Corrupción[[#This Row],[Código riesgo]]&lt;&gt;C73,_xlfn.XLOOKUP(C_Corrupción[[#This Row],[Código riesgo]],R_Corrupción[Código riesgo],R_Corrupción[Ii %],,0)*IF(C_Corrupción[[#This Row],[Efecto]]="Impacto",1-C_Corrupción[[#This Row],[Peso]],1),IF(C_Corrupción[[#This Row],[Efecto]]="Impacto",Z73*(1-C_Corrupción[[#This Row],[Peso]]),Z73)),"")</f>
        <v>0.60000000000000009</v>
      </c>
      <c r="AM74" s="16"/>
      <c r="AN74" s="16"/>
      <c r="AO74" s="16"/>
      <c r="AP74" s="16"/>
      <c r="AQ74" s="16"/>
      <c r="AR74" s="16"/>
      <c r="AS74" s="16"/>
      <c r="AT74" s="16"/>
      <c r="AU74" s="16"/>
      <c r="AV74" s="16"/>
      <c r="AW74" s="16"/>
      <c r="AX74" s="16"/>
      <c r="AY74" s="16"/>
      <c r="AZ74" s="16"/>
      <c r="BA74" s="16"/>
    </row>
    <row r="75" spans="1:53" ht="49.5" x14ac:dyDescent="0.25">
      <c r="A75" s="163">
        <v>70</v>
      </c>
      <c r="B75" s="159" t="str">
        <f>Mapa_RC!$B$17</f>
        <v>Gestión de bienes y servicios</v>
      </c>
      <c r="C75" s="169" t="str">
        <f>Mapa_RC!C$17</f>
        <v>ADM-C1</v>
      </c>
      <c r="D75" s="165"/>
      <c r="E75" s="165"/>
      <c r="F75" s="165" t="s">
        <v>64</v>
      </c>
      <c r="G75" s="165"/>
      <c r="H75" s="80"/>
      <c r="I75" s="87" t="str">
        <f>IF(C_Corrupción[[#This Row],[Responsable de ejecutar]]&lt;&gt;"",CONCATENATE(C_Corrupción[[#This Row],[Código riesgo]],"-",IF(C_Corrupción[[#This Row],[Código riesgo]]&lt;&gt;C74,1,RIGHT(I74,1)+1)),"")</f>
        <v/>
      </c>
      <c r="J75" s="157"/>
      <c r="K75" s="157"/>
      <c r="L75" s="157"/>
      <c r="M75" s="87"/>
      <c r="N75" s="87"/>
      <c r="O75" s="87"/>
      <c r="P75" s="87"/>
      <c r="Q75" s="87"/>
      <c r="R75" s="87"/>
      <c r="S75" s="157"/>
      <c r="T75" s="157"/>
      <c r="U75" s="172"/>
      <c r="V75" s="172"/>
      <c r="W75" s="166" t="str">
        <f>_xlfn.XLOOKUP(CONCATENATE(C_Corrupción[[#This Row],[Momento de ejecución]],C_Corrupción[[#This Row],[Forma de ejecución]]),C_Atributos,C_Peso,"",0)</f>
        <v/>
      </c>
      <c r="X75" s="87" t="str">
        <f>IFERROR(_xlfn.XLOOKUP(C_Corrupción[[#This Row],[Momento de ejecución]],C_Momento,C_Efecto,,0),"")</f>
        <v/>
      </c>
      <c r="Y75" s="167">
        <f>IFERROR(IF(C_Corrupción[[#This Row],[Código riesgo]]&lt;&gt;C74,_xlfn.XLOOKUP(C_Corrupción[[#This Row],[Código riesgo]],R_Corrupción[Código riesgo],R_Corrupción[Pi %],,0)*IF(C_Corrupción[[#This Row],[Efecto]]="Probabilidad",1-C_Corrupción[[#This Row],[Peso]],1),IF(C_Corrupción[[#This Row],[Efecto]]="Probabilidad",Y74*(1-C_Corrupción[[#This Row],[Peso]]),Y74)),"")</f>
        <v>0.42</v>
      </c>
      <c r="Z75" s="168">
        <f>IFERROR(IF(C_Corrupción[[#This Row],[Código riesgo]]&lt;&gt;C74,_xlfn.XLOOKUP(C_Corrupción[[#This Row],[Código riesgo]],R_Corrupción[Código riesgo],R_Corrupción[Ii %],,0)*IF(C_Corrupción[[#This Row],[Efecto]]="Impacto",1-C_Corrupción[[#This Row],[Peso]],1),IF(C_Corrupción[[#This Row],[Efecto]]="Impacto",Z74*(1-C_Corrupción[[#This Row],[Peso]]),Z74)),"")</f>
        <v>0.60000000000000009</v>
      </c>
      <c r="AM75" s="16"/>
      <c r="AN75" s="16"/>
      <c r="AO75" s="16"/>
      <c r="AP75" s="16"/>
      <c r="AQ75" s="16"/>
      <c r="AR75" s="16"/>
      <c r="AS75" s="16"/>
      <c r="AT75" s="16"/>
      <c r="AU75" s="16"/>
      <c r="AV75" s="16"/>
      <c r="AW75" s="16"/>
      <c r="AX75" s="16"/>
      <c r="AY75" s="16"/>
      <c r="AZ75" s="16"/>
      <c r="BA75" s="16"/>
    </row>
    <row r="76" spans="1:53" ht="49.5" x14ac:dyDescent="0.25">
      <c r="A76" s="163">
        <v>71</v>
      </c>
      <c r="B76" s="159" t="str">
        <f>Mapa_RC!$B$17</f>
        <v>Gestión de bienes y servicios</v>
      </c>
      <c r="C76" s="169" t="str">
        <f>Mapa_RC!C$17</f>
        <v>ADM-C1</v>
      </c>
      <c r="D76" s="165" t="s">
        <v>66</v>
      </c>
      <c r="E76" s="165"/>
      <c r="F76" s="165"/>
      <c r="G76" s="165"/>
      <c r="H76" s="80"/>
      <c r="I76" s="87" t="str">
        <f>IF(C_Corrupción[[#This Row],[Responsable de ejecutar]]&lt;&gt;"",CONCATENATE(C_Corrupción[[#This Row],[Código riesgo]],"-",IF(C_Corrupción[[#This Row],[Código riesgo]]&lt;&gt;C75,1,RIGHT(I75,1)+1)),"")</f>
        <v/>
      </c>
      <c r="J76" s="157"/>
      <c r="K76" s="157"/>
      <c r="L76" s="157"/>
      <c r="M76" s="87"/>
      <c r="N76" s="87"/>
      <c r="O76" s="87"/>
      <c r="P76" s="87"/>
      <c r="Q76" s="87"/>
      <c r="R76" s="87"/>
      <c r="S76" s="157"/>
      <c r="T76" s="157"/>
      <c r="U76" s="172"/>
      <c r="V76" s="172"/>
      <c r="W76" s="166" t="str">
        <f>_xlfn.XLOOKUP(CONCATENATE(C_Corrupción[[#This Row],[Momento de ejecución]],C_Corrupción[[#This Row],[Forma de ejecución]]),C_Atributos,C_Peso,"",0)</f>
        <v/>
      </c>
      <c r="X76" s="87" t="str">
        <f>IFERROR(_xlfn.XLOOKUP(C_Corrupción[[#This Row],[Momento de ejecución]],C_Momento,C_Efecto,,0),"")</f>
        <v/>
      </c>
      <c r="Y76" s="167">
        <f>IFERROR(IF(C_Corrupción[[#This Row],[Código riesgo]]&lt;&gt;C75,_xlfn.XLOOKUP(C_Corrupción[[#This Row],[Código riesgo]],R_Corrupción[Código riesgo],R_Corrupción[Pi %],,0)*IF(C_Corrupción[[#This Row],[Efecto]]="Probabilidad",1-C_Corrupción[[#This Row],[Peso]],1),IF(C_Corrupción[[#This Row],[Efecto]]="Probabilidad",Y75*(1-C_Corrupción[[#This Row],[Peso]]),Y75)),"")</f>
        <v>0.42</v>
      </c>
      <c r="Z76" s="168">
        <f>IFERROR(IF(C_Corrupción[[#This Row],[Código riesgo]]&lt;&gt;C75,_xlfn.XLOOKUP(C_Corrupción[[#This Row],[Código riesgo]],R_Corrupción[Código riesgo],R_Corrupción[Ii %],,0)*IF(C_Corrupción[[#This Row],[Efecto]]="Impacto",1-C_Corrupción[[#This Row],[Peso]],1),IF(C_Corrupción[[#This Row],[Efecto]]="Impacto",Z75*(1-C_Corrupción[[#This Row],[Peso]]),Z75)),"")</f>
        <v>0.60000000000000009</v>
      </c>
      <c r="AM76" s="16"/>
      <c r="AN76" s="16"/>
      <c r="AO76" s="16"/>
      <c r="AP76" s="16"/>
      <c r="AQ76" s="16"/>
      <c r="AR76" s="16"/>
      <c r="AS76" s="16"/>
      <c r="AT76" s="16"/>
      <c r="AU76" s="16"/>
      <c r="AV76" s="16"/>
      <c r="AW76" s="16"/>
      <c r="AX76" s="16"/>
      <c r="AY76" s="16"/>
      <c r="AZ76" s="16"/>
      <c r="BA76" s="16"/>
    </row>
    <row r="77" spans="1:53" ht="49.5" x14ac:dyDescent="0.25">
      <c r="A77" s="163">
        <v>72</v>
      </c>
      <c r="B77" s="159" t="str">
        <f>Mapa_RC!$B$17</f>
        <v>Gestión de bienes y servicios</v>
      </c>
      <c r="C77" s="169" t="str">
        <f>Mapa_RC!C$17</f>
        <v>ADM-C1</v>
      </c>
      <c r="D77" s="170" t="s">
        <v>378</v>
      </c>
      <c r="E77" s="170" t="s">
        <v>378</v>
      </c>
      <c r="F77" s="170" t="s">
        <v>378</v>
      </c>
      <c r="G77" s="164">
        <f>COUNTA(D72:G76)</f>
        <v>9</v>
      </c>
      <c r="H77" s="80"/>
      <c r="I77" s="87" t="str">
        <f>IF(C_Corrupción[[#This Row],[Responsable de ejecutar]]&lt;&gt;"",CONCATENATE(C_Corrupción[[#This Row],[Código riesgo]],"-",IF(C_Corrupción[[#This Row],[Código riesgo]]&lt;&gt;C76,1,RIGHT(I76,1)+1)),"")</f>
        <v/>
      </c>
      <c r="J77" s="157"/>
      <c r="K77" s="157"/>
      <c r="L77" s="157"/>
      <c r="M77" s="87"/>
      <c r="N77" s="87"/>
      <c r="O77" s="87"/>
      <c r="P77" s="87"/>
      <c r="Q77" s="87"/>
      <c r="R77" s="87"/>
      <c r="S77" s="157"/>
      <c r="T77" s="157"/>
      <c r="U77" s="172"/>
      <c r="V77" s="172"/>
      <c r="W77" s="166" t="str">
        <f>_xlfn.XLOOKUP(CONCATENATE(C_Corrupción[[#This Row],[Momento de ejecución]],C_Corrupción[[#This Row],[Forma de ejecución]]),C_Atributos,C_Peso,"",0)</f>
        <v/>
      </c>
      <c r="X77" s="87" t="str">
        <f>IFERROR(_xlfn.XLOOKUP(C_Corrupción[[#This Row],[Momento de ejecución]],C_Momento,C_Efecto,,0),"")</f>
        <v/>
      </c>
      <c r="Y77" s="167">
        <f>IFERROR(IF(C_Corrupción[[#This Row],[Código riesgo]]&lt;&gt;C76,_xlfn.XLOOKUP(C_Corrupción[[#This Row],[Código riesgo]],R_Corrupción[Código riesgo],R_Corrupción[Pi %],,0)*IF(C_Corrupción[[#This Row],[Efecto]]="Probabilidad",1-C_Corrupción[[#This Row],[Peso]],1),IF(C_Corrupción[[#This Row],[Efecto]]="Probabilidad",Y76*(1-C_Corrupción[[#This Row],[Peso]]),Y76)),"")</f>
        <v>0.42</v>
      </c>
      <c r="Z77" s="168">
        <f>IFERROR(IF(C_Corrupción[[#This Row],[Código riesgo]]&lt;&gt;C76,_xlfn.XLOOKUP(C_Corrupción[[#This Row],[Código riesgo]],R_Corrupción[Código riesgo],R_Corrupción[Ii %],,0)*IF(C_Corrupción[[#This Row],[Efecto]]="Impacto",1-C_Corrupción[[#This Row],[Peso]],1),IF(C_Corrupción[[#This Row],[Efecto]]="Impacto",Z76*(1-C_Corrupción[[#This Row],[Peso]]),Z76)),"")</f>
        <v>0.60000000000000009</v>
      </c>
      <c r="AM77" s="16"/>
      <c r="AN77" s="16"/>
      <c r="AO77" s="16"/>
      <c r="AP77" s="16"/>
      <c r="AQ77" s="16"/>
      <c r="AR77" s="16"/>
      <c r="AS77" s="16"/>
      <c r="AT77" s="16"/>
      <c r="AU77" s="16"/>
      <c r="AV77" s="16"/>
      <c r="AW77" s="16"/>
      <c r="AX77" s="16"/>
      <c r="AY77" s="16"/>
      <c r="AZ77" s="16"/>
      <c r="BA77" s="16"/>
    </row>
    <row r="78" spans="1:53" ht="99" x14ac:dyDescent="0.25">
      <c r="A78" s="163">
        <v>73</v>
      </c>
      <c r="B78" s="159" t="str">
        <f>Mapa_RC!$B$18</f>
        <v>Formación</v>
      </c>
      <c r="C78" s="164" t="str">
        <f>Mapa_RC!C$18</f>
        <v>FOR-C2</v>
      </c>
      <c r="D78" s="165" t="s">
        <v>50</v>
      </c>
      <c r="E78" s="165" t="s">
        <v>51</v>
      </c>
      <c r="F78" s="165" t="s">
        <v>365</v>
      </c>
      <c r="G78" s="165" t="s">
        <v>53</v>
      </c>
      <c r="H78" s="80" t="s">
        <v>565</v>
      </c>
      <c r="I78" s="87" t="str">
        <f>IF(C_Corrupción[[#This Row],[Responsable de ejecutar]]&lt;&gt;"",CONCATENATE(C_Corrupción[[#This Row],[Código riesgo]],"-",IF(C_Corrupción[[#This Row],[Código riesgo]]&lt;&gt;C77,1,RIGHT(I77,1)+1)),"")</f>
        <v>FOR-C2-1</v>
      </c>
      <c r="J78" s="157" t="s">
        <v>566</v>
      </c>
      <c r="K78" s="157" t="s">
        <v>567</v>
      </c>
      <c r="L78" s="157" t="s">
        <v>568</v>
      </c>
      <c r="M78" s="87" t="s">
        <v>20</v>
      </c>
      <c r="N78" s="87" t="s">
        <v>30</v>
      </c>
      <c r="O78" s="87" t="s">
        <v>109</v>
      </c>
      <c r="P78" s="87" t="s">
        <v>440</v>
      </c>
      <c r="Q78" s="87" t="s">
        <v>441</v>
      </c>
      <c r="R78" s="87" t="s">
        <v>212</v>
      </c>
      <c r="S78" s="157" t="s">
        <v>569</v>
      </c>
      <c r="T78" s="157" t="s">
        <v>570</v>
      </c>
      <c r="U78" s="172">
        <v>45444</v>
      </c>
      <c r="V78" s="172">
        <v>45565</v>
      </c>
      <c r="W78" s="166">
        <f>_xlfn.XLOOKUP(CONCATENATE(C_Corrupción[[#This Row],[Momento de ejecución]],C_Corrupción[[#This Row],[Forma de ejecución]]),C_Atributos,C_Peso,"",0)</f>
        <v>0.3</v>
      </c>
      <c r="X78" s="87" t="str">
        <f>IFERROR(_xlfn.XLOOKUP(C_Corrupción[[#This Row],[Momento de ejecución]],C_Momento,C_Efecto,,0),"")</f>
        <v>Probabilidad</v>
      </c>
      <c r="Y78" s="167">
        <f>IFERROR(IF(C_Corrupción[[#This Row],[Código riesgo]]&lt;&gt;C77,_xlfn.XLOOKUP(C_Corrupción[[#This Row],[Código riesgo]],R_Corrupción[Código riesgo],R_Corrupción[Pi %],,0)*IF(C_Corrupción[[#This Row],[Efecto]]="Probabilidad",1-C_Corrupción[[#This Row],[Peso]],1),IF(C_Corrupción[[#This Row],[Efecto]]="Probabilidad",Y77*(1-C_Corrupción[[#This Row],[Peso]]),Y77)),"")</f>
        <v>0.42</v>
      </c>
      <c r="Z78" s="168">
        <f>IFERROR(IF(C_Corrupción[[#This Row],[Código riesgo]]&lt;&gt;C77,_xlfn.XLOOKUP(C_Corrupción[[#This Row],[Código riesgo]],R_Corrupción[Código riesgo],R_Corrupción[Ii %],,0)*IF(C_Corrupción[[#This Row],[Efecto]]="Impacto",1-C_Corrupción[[#This Row],[Peso]],1),IF(C_Corrupción[[#This Row],[Efecto]]="Impacto",Z77*(1-C_Corrupción[[#This Row],[Peso]]),Z77)),"")</f>
        <v>1</v>
      </c>
    </row>
    <row r="79" spans="1:53" ht="115.5" x14ac:dyDescent="0.25">
      <c r="A79" s="163">
        <v>74</v>
      </c>
      <c r="B79" s="159" t="str">
        <f>Mapa_RC!$B$18</f>
        <v>Formación</v>
      </c>
      <c r="C79" s="169" t="str">
        <f>Mapa_RC!C$18</f>
        <v>FOR-C2</v>
      </c>
      <c r="D79" s="165" t="s">
        <v>54</v>
      </c>
      <c r="E79" s="165"/>
      <c r="F79" s="165" t="s">
        <v>56</v>
      </c>
      <c r="G79" s="165"/>
      <c r="H79" s="80" t="s">
        <v>571</v>
      </c>
      <c r="I79" s="87" t="str">
        <f>IF(C_Corrupción[[#This Row],[Responsable de ejecutar]]&lt;&gt;"",CONCATENATE(C_Corrupción[[#This Row],[Código riesgo]],"-",IF(C_Corrupción[[#This Row],[Código riesgo]]&lt;&gt;C78,1,RIGHT(I78,1)+1)),"")</f>
        <v>FOR-C2-2</v>
      </c>
      <c r="J79" s="157" t="s">
        <v>572</v>
      </c>
      <c r="K79" s="157" t="s">
        <v>573</v>
      </c>
      <c r="L79" s="157" t="s">
        <v>574</v>
      </c>
      <c r="M79" s="87" t="s">
        <v>23</v>
      </c>
      <c r="N79" s="87" t="s">
        <v>30</v>
      </c>
      <c r="O79" s="87" t="s">
        <v>109</v>
      </c>
      <c r="P79" s="87" t="s">
        <v>115</v>
      </c>
      <c r="Q79" s="87" t="s">
        <v>441</v>
      </c>
      <c r="R79" s="87" t="s">
        <v>212</v>
      </c>
      <c r="S79" s="157" t="s">
        <v>442</v>
      </c>
      <c r="T79" s="157" t="s">
        <v>443</v>
      </c>
      <c r="U79" s="172">
        <v>45566</v>
      </c>
      <c r="V79" s="172">
        <v>45657</v>
      </c>
      <c r="W79" s="166">
        <f>_xlfn.XLOOKUP(CONCATENATE(C_Corrupción[[#This Row],[Momento de ejecución]],C_Corrupción[[#This Row],[Forma de ejecución]]),C_Atributos,C_Peso,"",0)</f>
        <v>0.25</v>
      </c>
      <c r="X79" s="87" t="str">
        <f>IFERROR(_xlfn.XLOOKUP(C_Corrupción[[#This Row],[Momento de ejecución]],C_Momento,C_Efecto,,0),"")</f>
        <v>Impacto</v>
      </c>
      <c r="Y79" s="167">
        <f>IFERROR(IF(C_Corrupción[[#This Row],[Código riesgo]]&lt;&gt;C78,_xlfn.XLOOKUP(C_Corrupción[[#This Row],[Código riesgo]],R_Corrupción[Código riesgo],R_Corrupción[Pi %],,0)*IF(C_Corrupción[[#This Row],[Efecto]]="Probabilidad",1-C_Corrupción[[#This Row],[Peso]],1),IF(C_Corrupción[[#This Row],[Efecto]]="Probabilidad",Y78*(1-C_Corrupción[[#This Row],[Peso]]),Y78)),"")</f>
        <v>0.42</v>
      </c>
      <c r="Z79" s="168">
        <f>IFERROR(IF(C_Corrupción[[#This Row],[Código riesgo]]&lt;&gt;C78,_xlfn.XLOOKUP(C_Corrupción[[#This Row],[Código riesgo]],R_Corrupción[Código riesgo],R_Corrupción[Ii %],,0)*IF(C_Corrupción[[#This Row],[Efecto]]="Impacto",1-C_Corrupción[[#This Row],[Peso]],1),IF(C_Corrupción[[#This Row],[Efecto]]="Impacto",Z78*(1-C_Corrupción[[#This Row],[Peso]]),Z78)),"")</f>
        <v>0.75</v>
      </c>
    </row>
    <row r="80" spans="1:53" ht="33" x14ac:dyDescent="0.25">
      <c r="A80" s="163">
        <v>75</v>
      </c>
      <c r="B80" s="159" t="str">
        <f>Mapa_RC!$B$18</f>
        <v>Formación</v>
      </c>
      <c r="C80" s="169" t="str">
        <f>Mapa_RC!C$18</f>
        <v>FOR-C2</v>
      </c>
      <c r="D80" s="165" t="s">
        <v>58</v>
      </c>
      <c r="E80" s="165" t="s">
        <v>59</v>
      </c>
      <c r="F80" s="165" t="s">
        <v>60</v>
      </c>
      <c r="G80" s="165"/>
      <c r="H80" s="80"/>
      <c r="I80" s="87" t="str">
        <f>IF(C_Corrupción[[#This Row],[Responsable de ejecutar]]&lt;&gt;"",CONCATENATE(C_Corrupción[[#This Row],[Código riesgo]],"-",IF(C_Corrupción[[#This Row],[Código riesgo]]&lt;&gt;C79,1,RIGHT(I79,1)+1)),"")</f>
        <v/>
      </c>
      <c r="J80" s="157"/>
      <c r="K80" s="157"/>
      <c r="L80" s="157"/>
      <c r="M80" s="87"/>
      <c r="N80" s="87"/>
      <c r="O80" s="87"/>
      <c r="P80" s="87"/>
      <c r="Q80" s="87"/>
      <c r="R80" s="87"/>
      <c r="S80" s="157"/>
      <c r="T80" s="157"/>
      <c r="U80" s="172"/>
      <c r="V80" s="172"/>
      <c r="W80" s="166" t="str">
        <f>_xlfn.XLOOKUP(CONCATENATE(C_Corrupción[[#This Row],[Momento de ejecución]],C_Corrupción[[#This Row],[Forma de ejecución]]),C_Atributos,C_Peso,"",0)</f>
        <v/>
      </c>
      <c r="X80" s="87" t="str">
        <f>IFERROR(_xlfn.XLOOKUP(C_Corrupción[[#This Row],[Momento de ejecución]],C_Momento,C_Efecto,,0),"")</f>
        <v/>
      </c>
      <c r="Y80" s="167">
        <f>IFERROR(IF(C_Corrupción[[#This Row],[Código riesgo]]&lt;&gt;C79,_xlfn.XLOOKUP(C_Corrupción[[#This Row],[Código riesgo]],R_Corrupción[Código riesgo],R_Corrupción[Pi %],,0)*IF(C_Corrupción[[#This Row],[Efecto]]="Probabilidad",1-C_Corrupción[[#This Row],[Peso]],1),IF(C_Corrupción[[#This Row],[Efecto]]="Probabilidad",Y79*(1-C_Corrupción[[#This Row],[Peso]]),Y79)),"")</f>
        <v>0.42</v>
      </c>
      <c r="Z80" s="168">
        <f>IFERROR(IF(C_Corrupción[[#This Row],[Código riesgo]]&lt;&gt;C79,_xlfn.XLOOKUP(C_Corrupción[[#This Row],[Código riesgo]],R_Corrupción[Código riesgo],R_Corrupción[Ii %],,0)*IF(C_Corrupción[[#This Row],[Efecto]]="Impacto",1-C_Corrupción[[#This Row],[Peso]],1),IF(C_Corrupción[[#This Row],[Efecto]]="Impacto",Z79*(1-C_Corrupción[[#This Row],[Peso]]),Z79)),"")</f>
        <v>0.75</v>
      </c>
    </row>
    <row r="81" spans="1:26" ht="33" x14ac:dyDescent="0.25">
      <c r="A81" s="163">
        <v>76</v>
      </c>
      <c r="B81" s="159" t="str">
        <f>Mapa_RC!$B$18</f>
        <v>Formación</v>
      </c>
      <c r="C81" s="169" t="str">
        <f>Mapa_RC!C$18</f>
        <v>FOR-C2</v>
      </c>
      <c r="D81" s="165"/>
      <c r="E81" s="165"/>
      <c r="F81" s="165" t="s">
        <v>64</v>
      </c>
      <c r="G81" s="165"/>
      <c r="H81" s="80"/>
      <c r="I81" s="87" t="str">
        <f>IF(C_Corrupción[[#This Row],[Responsable de ejecutar]]&lt;&gt;"",CONCATENATE(C_Corrupción[[#This Row],[Código riesgo]],"-",IF(C_Corrupción[[#This Row],[Código riesgo]]&lt;&gt;C80,1,RIGHT(I80,1)+1)),"")</f>
        <v/>
      </c>
      <c r="J81" s="157"/>
      <c r="K81" s="157"/>
      <c r="L81" s="157"/>
      <c r="M81" s="87"/>
      <c r="N81" s="87"/>
      <c r="O81" s="87"/>
      <c r="P81" s="87"/>
      <c r="Q81" s="87"/>
      <c r="R81" s="87"/>
      <c r="S81" s="157"/>
      <c r="T81" s="157"/>
      <c r="U81" s="172"/>
      <c r="V81" s="172"/>
      <c r="W81" s="166" t="str">
        <f>_xlfn.XLOOKUP(CONCATENATE(C_Corrupción[[#This Row],[Momento de ejecución]],C_Corrupción[[#This Row],[Forma de ejecución]]),C_Atributos,C_Peso,"",0)</f>
        <v/>
      </c>
      <c r="X81" s="87" t="str">
        <f>IFERROR(_xlfn.XLOOKUP(C_Corrupción[[#This Row],[Momento de ejecución]],C_Momento,C_Efecto,,0),"")</f>
        <v/>
      </c>
      <c r="Y81" s="167">
        <f>IFERROR(IF(C_Corrupción[[#This Row],[Código riesgo]]&lt;&gt;C80,_xlfn.XLOOKUP(C_Corrupción[[#This Row],[Código riesgo]],R_Corrupción[Código riesgo],R_Corrupción[Pi %],,0)*IF(C_Corrupción[[#This Row],[Efecto]]="Probabilidad",1-C_Corrupción[[#This Row],[Peso]],1),IF(C_Corrupción[[#This Row],[Efecto]]="Probabilidad",Y80*(1-C_Corrupción[[#This Row],[Peso]]),Y80)),"")</f>
        <v>0.42</v>
      </c>
      <c r="Z81" s="168">
        <f>IFERROR(IF(C_Corrupción[[#This Row],[Código riesgo]]&lt;&gt;C80,_xlfn.XLOOKUP(C_Corrupción[[#This Row],[Código riesgo]],R_Corrupción[Código riesgo],R_Corrupción[Ii %],,0)*IF(C_Corrupción[[#This Row],[Efecto]]="Impacto",1-C_Corrupción[[#This Row],[Peso]],1),IF(C_Corrupción[[#This Row],[Efecto]]="Impacto",Z80*(1-C_Corrupción[[#This Row],[Peso]]),Z80)),"")</f>
        <v>0.75</v>
      </c>
    </row>
    <row r="82" spans="1:26" ht="33" x14ac:dyDescent="0.25">
      <c r="A82" s="163">
        <v>77</v>
      </c>
      <c r="B82" s="159" t="str">
        <f>Mapa_RC!$B$18</f>
        <v>Formación</v>
      </c>
      <c r="C82" s="169" t="str">
        <f>Mapa_RC!C$18</f>
        <v>FOR-C2</v>
      </c>
      <c r="D82" s="165" t="s">
        <v>66</v>
      </c>
      <c r="E82" s="165"/>
      <c r="F82" s="165" t="s">
        <v>68</v>
      </c>
      <c r="G82" s="165"/>
      <c r="H82" s="80"/>
      <c r="I82" s="87" t="str">
        <f>IF(C_Corrupción[[#This Row],[Responsable de ejecutar]]&lt;&gt;"",CONCATENATE(C_Corrupción[[#This Row],[Código riesgo]],"-",IF(C_Corrupción[[#This Row],[Código riesgo]]&lt;&gt;C81,1,RIGHT(I81,1)+1)),"")</f>
        <v/>
      </c>
      <c r="J82" s="157"/>
      <c r="K82" s="157"/>
      <c r="L82" s="157"/>
      <c r="M82" s="87"/>
      <c r="N82" s="87"/>
      <c r="O82" s="87"/>
      <c r="P82" s="87"/>
      <c r="Q82" s="87"/>
      <c r="R82" s="87"/>
      <c r="S82" s="157"/>
      <c r="T82" s="157"/>
      <c r="U82" s="172"/>
      <c r="V82" s="172"/>
      <c r="W82" s="166" t="str">
        <f>_xlfn.XLOOKUP(CONCATENATE(C_Corrupción[[#This Row],[Momento de ejecución]],C_Corrupción[[#This Row],[Forma de ejecución]]),C_Atributos,C_Peso,"",0)</f>
        <v/>
      </c>
      <c r="X82" s="87" t="str">
        <f>IFERROR(_xlfn.XLOOKUP(C_Corrupción[[#This Row],[Momento de ejecución]],C_Momento,C_Efecto,,0),"")</f>
        <v/>
      </c>
      <c r="Y82" s="167">
        <f>IFERROR(IF(C_Corrupción[[#This Row],[Código riesgo]]&lt;&gt;C81,_xlfn.XLOOKUP(C_Corrupción[[#This Row],[Código riesgo]],R_Corrupción[Código riesgo],R_Corrupción[Pi %],,0)*IF(C_Corrupción[[#This Row],[Efecto]]="Probabilidad",1-C_Corrupción[[#This Row],[Peso]],1),IF(C_Corrupción[[#This Row],[Efecto]]="Probabilidad",Y81*(1-C_Corrupción[[#This Row],[Peso]]),Y81)),"")</f>
        <v>0.42</v>
      </c>
      <c r="Z82" s="168">
        <f>IFERROR(IF(C_Corrupción[[#This Row],[Código riesgo]]&lt;&gt;C81,_xlfn.XLOOKUP(C_Corrupción[[#This Row],[Código riesgo]],R_Corrupción[Código riesgo],R_Corrupción[Ii %],,0)*IF(C_Corrupción[[#This Row],[Efecto]]="Impacto",1-C_Corrupción[[#This Row],[Peso]],1),IF(C_Corrupción[[#This Row],[Efecto]]="Impacto",Z81*(1-C_Corrupción[[#This Row],[Peso]]),Z81)),"")</f>
        <v>0.75</v>
      </c>
    </row>
    <row r="83" spans="1:26" x14ac:dyDescent="0.25">
      <c r="A83" s="163">
        <v>78</v>
      </c>
      <c r="B83" s="159" t="str">
        <f>Mapa_RC!$B$18</f>
        <v>Formación</v>
      </c>
      <c r="C83" s="169" t="str">
        <f>Mapa_RC!C$18</f>
        <v>FOR-C2</v>
      </c>
      <c r="D83" s="170" t="s">
        <v>378</v>
      </c>
      <c r="E83" s="170" t="s">
        <v>378</v>
      </c>
      <c r="F83" s="170" t="s">
        <v>378</v>
      </c>
      <c r="G83" s="164">
        <f>COUNTA(D78:G82)</f>
        <v>12</v>
      </c>
      <c r="H83" s="80"/>
      <c r="I83" s="87" t="str">
        <f>IF(C_Corrupción[[#This Row],[Responsable de ejecutar]]&lt;&gt;"",CONCATENATE(C_Corrupción[[#This Row],[Código riesgo]],"-",IF(C_Corrupción[[#This Row],[Código riesgo]]&lt;&gt;C82,1,RIGHT(I82,1)+1)),"")</f>
        <v/>
      </c>
      <c r="J83" s="157"/>
      <c r="K83" s="157"/>
      <c r="L83" s="157"/>
      <c r="M83" s="87"/>
      <c r="N83" s="87"/>
      <c r="O83" s="87"/>
      <c r="P83" s="87"/>
      <c r="Q83" s="87"/>
      <c r="R83" s="87"/>
      <c r="S83" s="157"/>
      <c r="T83" s="157"/>
      <c r="U83" s="172"/>
      <c r="V83" s="172"/>
      <c r="W83" s="166" t="str">
        <f>_xlfn.XLOOKUP(CONCATENATE(C_Corrupción[[#This Row],[Momento de ejecución]],C_Corrupción[[#This Row],[Forma de ejecución]]),C_Atributos,C_Peso,"",0)</f>
        <v/>
      </c>
      <c r="X83" s="87" t="str">
        <f>IFERROR(_xlfn.XLOOKUP(C_Corrupción[[#This Row],[Momento de ejecución]],C_Momento,C_Efecto,,0),"")</f>
        <v/>
      </c>
      <c r="Y83" s="167">
        <f>IFERROR(IF(C_Corrupción[[#This Row],[Código riesgo]]&lt;&gt;C82,_xlfn.XLOOKUP(C_Corrupción[[#This Row],[Código riesgo]],R_Corrupción[Código riesgo],R_Corrupción[Pi %],,0)*IF(C_Corrupción[[#This Row],[Efecto]]="Probabilidad",1-C_Corrupción[[#This Row],[Peso]],1),IF(C_Corrupción[[#This Row],[Efecto]]="Probabilidad",Y82*(1-C_Corrupción[[#This Row],[Peso]]),Y82)),"")</f>
        <v>0.42</v>
      </c>
      <c r="Z83" s="168">
        <f>IFERROR(IF(C_Corrupción[[#This Row],[Código riesgo]]&lt;&gt;C82,_xlfn.XLOOKUP(C_Corrupción[[#This Row],[Código riesgo]],R_Corrupción[Código riesgo],R_Corrupción[Ii %],,0)*IF(C_Corrupción[[#This Row],[Efecto]]="Impacto",1-C_Corrupción[[#This Row],[Peso]],1),IF(C_Corrupción[[#This Row],[Efecto]]="Impacto",Z82*(1-C_Corrupción[[#This Row],[Peso]]),Z82)),"")</f>
        <v>0.75</v>
      </c>
    </row>
    <row r="84" spans="1:26" ht="99" x14ac:dyDescent="0.25">
      <c r="A84" s="163">
        <v>79</v>
      </c>
      <c r="B84" s="159" t="str">
        <f>Mapa_RC!$B$19</f>
        <v>Apropiación social del conocimiento y del patrimonio</v>
      </c>
      <c r="C84" s="164" t="str">
        <f>Mapa_RC!C$19</f>
        <v>APR-C2</v>
      </c>
      <c r="D84" s="165" t="s">
        <v>50</v>
      </c>
      <c r="E84" s="165" t="s">
        <v>51</v>
      </c>
      <c r="F84" s="165" t="s">
        <v>365</v>
      </c>
      <c r="G84" s="165" t="s">
        <v>53</v>
      </c>
      <c r="H84" s="80" t="s">
        <v>575</v>
      </c>
      <c r="I84" s="87" t="str">
        <f>IF(C_Corrupción[[#This Row],[Responsable de ejecutar]]&lt;&gt;"",CONCATENATE(C_Corrupción[[#This Row],[Código riesgo]],"-",IF(C_Corrupción[[#This Row],[Código riesgo]]&lt;&gt;C83,1,RIGHT(I83,1)+1)),"")</f>
        <v>APR-C2-1</v>
      </c>
      <c r="J84" s="157" t="s">
        <v>576</v>
      </c>
      <c r="K84" s="157" t="s">
        <v>577</v>
      </c>
      <c r="L84" s="157" t="s">
        <v>578</v>
      </c>
      <c r="M84" s="87" t="s">
        <v>17</v>
      </c>
      <c r="N84" s="87" t="s">
        <v>30</v>
      </c>
      <c r="O84" s="87" t="s">
        <v>579</v>
      </c>
      <c r="P84" s="87" t="s">
        <v>115</v>
      </c>
      <c r="Q84" s="87" t="s">
        <v>692</v>
      </c>
      <c r="R84" s="87" t="s">
        <v>212</v>
      </c>
      <c r="S84" s="157" t="s">
        <v>580</v>
      </c>
      <c r="T84" s="157" t="s">
        <v>581</v>
      </c>
      <c r="U84" s="172">
        <v>45566</v>
      </c>
      <c r="V84" s="172">
        <v>45657</v>
      </c>
      <c r="W84" s="166">
        <f>_xlfn.XLOOKUP(CONCATENATE(C_Corrupción[[#This Row],[Momento de ejecución]],C_Corrupción[[#This Row],[Forma de ejecución]]),C_Atributos,C_Peso,"",0)</f>
        <v>0.4</v>
      </c>
      <c r="X84" s="87" t="str">
        <f>IFERROR(_xlfn.XLOOKUP(C_Corrupción[[#This Row],[Momento de ejecución]],C_Momento,C_Efecto,,0),"")</f>
        <v>Probabilidad</v>
      </c>
      <c r="Y84" s="167">
        <f>IFERROR(IF(C_Corrupción[[#This Row],[Código riesgo]]&lt;&gt;C83,_xlfn.XLOOKUP(C_Corrupción[[#This Row],[Código riesgo]],R_Corrupción[Código riesgo],R_Corrupción[Pi %],,0)*IF(C_Corrupción[[#This Row],[Efecto]]="Probabilidad",1-C_Corrupción[[#This Row],[Peso]],1),IF(C_Corrupción[[#This Row],[Efecto]]="Probabilidad",Y83*(1-C_Corrupción[[#This Row],[Peso]]),Y83)),"")</f>
        <v>0.36</v>
      </c>
      <c r="Z84" s="168">
        <f>IFERROR(IF(C_Corrupción[[#This Row],[Código riesgo]]&lt;&gt;C83,_xlfn.XLOOKUP(C_Corrupción[[#This Row],[Código riesgo]],R_Corrupción[Código riesgo],R_Corrupción[Ii %],,0)*IF(C_Corrupción[[#This Row],[Efecto]]="Impacto",1-C_Corrupción[[#This Row],[Peso]],1),IF(C_Corrupción[[#This Row],[Efecto]]="Impacto",Z83*(1-C_Corrupción[[#This Row],[Peso]]),Z83)),"")</f>
        <v>1</v>
      </c>
    </row>
    <row r="85" spans="1:26" ht="99" x14ac:dyDescent="0.25">
      <c r="A85" s="163">
        <v>80</v>
      </c>
      <c r="B85" s="159" t="str">
        <f>Mapa_RC!$B$19</f>
        <v>Apropiación social del conocimiento y del patrimonio</v>
      </c>
      <c r="C85" s="169" t="str">
        <f>Mapa_RC!C$19</f>
        <v>APR-C2</v>
      </c>
      <c r="D85" s="165" t="s">
        <v>54</v>
      </c>
      <c r="E85" s="165"/>
      <c r="F85" s="165" t="s">
        <v>56</v>
      </c>
      <c r="G85" s="165"/>
      <c r="H85" s="80" t="s">
        <v>582</v>
      </c>
      <c r="I85" s="87" t="str">
        <f>IF(C_Corrupción[[#This Row],[Responsable de ejecutar]]&lt;&gt;"",CONCATENATE(C_Corrupción[[#This Row],[Código riesgo]],"-",IF(C_Corrupción[[#This Row],[Código riesgo]]&lt;&gt;C84,1,RIGHT(I84,1)+1)),"")</f>
        <v>APR-C2-2</v>
      </c>
      <c r="J85" s="157" t="s">
        <v>373</v>
      </c>
      <c r="K85" s="157" t="s">
        <v>374</v>
      </c>
      <c r="L85" s="157" t="s">
        <v>375</v>
      </c>
      <c r="M85" s="87" t="s">
        <v>23</v>
      </c>
      <c r="N85" s="87" t="s">
        <v>30</v>
      </c>
      <c r="O85" s="87" t="s">
        <v>376</v>
      </c>
      <c r="P85" s="87" t="s">
        <v>115</v>
      </c>
      <c r="Q85" s="87" t="s">
        <v>377</v>
      </c>
      <c r="R85" s="87" t="s">
        <v>212</v>
      </c>
      <c r="S85" s="157" t="s">
        <v>583</v>
      </c>
      <c r="T85" s="157" t="s">
        <v>584</v>
      </c>
      <c r="U85" s="172">
        <v>45566</v>
      </c>
      <c r="V85" s="172">
        <v>45625</v>
      </c>
      <c r="W85" s="166">
        <f>_xlfn.XLOOKUP(CONCATENATE(C_Corrupción[[#This Row],[Momento de ejecución]],C_Corrupción[[#This Row],[Forma de ejecución]]),C_Atributos,C_Peso,"",0)</f>
        <v>0.25</v>
      </c>
      <c r="X85" s="87" t="str">
        <f>IFERROR(_xlfn.XLOOKUP(C_Corrupción[[#This Row],[Momento de ejecución]],C_Momento,C_Efecto,,0),"")</f>
        <v>Impacto</v>
      </c>
      <c r="Y85" s="167">
        <f>IFERROR(IF(C_Corrupción[[#This Row],[Código riesgo]]&lt;&gt;C84,_xlfn.XLOOKUP(C_Corrupción[[#This Row],[Código riesgo]],R_Corrupción[Código riesgo],R_Corrupción[Pi %],,0)*IF(C_Corrupción[[#This Row],[Efecto]]="Probabilidad",1-C_Corrupción[[#This Row],[Peso]],1),IF(C_Corrupción[[#This Row],[Efecto]]="Probabilidad",Y84*(1-C_Corrupción[[#This Row],[Peso]]),Y84)),"")</f>
        <v>0.36</v>
      </c>
      <c r="Z85" s="168">
        <f>IFERROR(IF(C_Corrupción[[#This Row],[Código riesgo]]&lt;&gt;C84,_xlfn.XLOOKUP(C_Corrupción[[#This Row],[Código riesgo]],R_Corrupción[Código riesgo],R_Corrupción[Ii %],,0)*IF(C_Corrupción[[#This Row],[Efecto]]="Impacto",1-C_Corrupción[[#This Row],[Peso]],1),IF(C_Corrupción[[#This Row],[Efecto]]="Impacto",Z84*(1-C_Corrupción[[#This Row],[Peso]]),Z84)),"")</f>
        <v>0.75</v>
      </c>
    </row>
    <row r="86" spans="1:26" ht="148.5" x14ac:dyDescent="0.25">
      <c r="A86" s="163">
        <v>81</v>
      </c>
      <c r="B86" s="159" t="str">
        <f>Mapa_RC!$B$19</f>
        <v>Apropiación social del conocimiento y del patrimonio</v>
      </c>
      <c r="C86" s="169" t="str">
        <f>Mapa_RC!C$19</f>
        <v>APR-C2</v>
      </c>
      <c r="D86" s="165" t="s">
        <v>58</v>
      </c>
      <c r="E86" s="165" t="s">
        <v>59</v>
      </c>
      <c r="F86" s="165" t="s">
        <v>60</v>
      </c>
      <c r="G86" s="165"/>
      <c r="H86" s="80"/>
      <c r="I86" s="87" t="str">
        <f>IF(C_Corrupción[[#This Row],[Responsable de ejecutar]]&lt;&gt;"",CONCATENATE(C_Corrupción[[#This Row],[Código riesgo]],"-",IF(C_Corrupción[[#This Row],[Código riesgo]]&lt;&gt;C85,1,RIGHT(I85,1)+1)),"")</f>
        <v/>
      </c>
      <c r="J86" s="157"/>
      <c r="K86" s="157"/>
      <c r="L86" s="157"/>
      <c r="M86" s="87"/>
      <c r="N86" s="87"/>
      <c r="O86" s="87"/>
      <c r="P86" s="87"/>
      <c r="Q86" s="87"/>
      <c r="R86" s="87" t="s">
        <v>212</v>
      </c>
      <c r="S86" s="157" t="s">
        <v>585</v>
      </c>
      <c r="T86" s="157" t="s">
        <v>586</v>
      </c>
      <c r="U86" s="172">
        <v>45413</v>
      </c>
      <c r="V86" s="172">
        <v>45657</v>
      </c>
      <c r="W86" s="166" t="str">
        <f>_xlfn.XLOOKUP(CONCATENATE(C_Corrupción[[#This Row],[Momento de ejecución]],C_Corrupción[[#This Row],[Forma de ejecución]]),C_Atributos,C_Peso,"",0)</f>
        <v/>
      </c>
      <c r="X86" s="87" t="str">
        <f>IFERROR(_xlfn.XLOOKUP(C_Corrupción[[#This Row],[Momento de ejecución]],C_Momento,C_Efecto,,0),"")</f>
        <v/>
      </c>
      <c r="Y86" s="167">
        <f>IFERROR(IF(C_Corrupción[[#This Row],[Código riesgo]]&lt;&gt;C85,_xlfn.XLOOKUP(C_Corrupción[[#This Row],[Código riesgo]],R_Corrupción[Código riesgo],R_Corrupción[Pi %],,0)*IF(C_Corrupción[[#This Row],[Efecto]]="Probabilidad",1-C_Corrupción[[#This Row],[Peso]],1),IF(C_Corrupción[[#This Row],[Efecto]]="Probabilidad",Y85*(1-C_Corrupción[[#This Row],[Peso]]),Y85)),"")</f>
        <v>0.36</v>
      </c>
      <c r="Z86" s="168">
        <f>IFERROR(IF(C_Corrupción[[#This Row],[Código riesgo]]&lt;&gt;C85,_xlfn.XLOOKUP(C_Corrupción[[#This Row],[Código riesgo]],R_Corrupción[Código riesgo],R_Corrupción[Ii %],,0)*IF(C_Corrupción[[#This Row],[Efecto]]="Impacto",1-C_Corrupción[[#This Row],[Peso]],1),IF(C_Corrupción[[#This Row],[Efecto]]="Impacto",Z85*(1-C_Corrupción[[#This Row],[Peso]]),Z85)),"")</f>
        <v>0.75</v>
      </c>
    </row>
    <row r="87" spans="1:26" ht="153" customHeight="1" x14ac:dyDescent="0.25">
      <c r="A87" s="163">
        <v>82</v>
      </c>
      <c r="B87" s="159" t="str">
        <f>Mapa_RC!$B$19</f>
        <v>Apropiación social del conocimiento y del patrimonio</v>
      </c>
      <c r="C87" s="169" t="str">
        <f>Mapa_RC!C$19</f>
        <v>APR-C2</v>
      </c>
      <c r="D87" s="165"/>
      <c r="E87" s="165"/>
      <c r="F87" s="165" t="s">
        <v>64</v>
      </c>
      <c r="G87" s="165"/>
      <c r="H87" s="80"/>
      <c r="I87" s="87" t="str">
        <f>IF(C_Corrupción[[#This Row],[Responsable de ejecutar]]&lt;&gt;"",CONCATENATE(C_Corrupción[[#This Row],[Código riesgo]],"-",IF(C_Corrupción[[#This Row],[Código riesgo]]&lt;&gt;C86,1,RIGHT(I86,1)+1)),"")</f>
        <v/>
      </c>
      <c r="J87" s="157"/>
      <c r="K87" s="157"/>
      <c r="L87" s="157"/>
      <c r="M87" s="87"/>
      <c r="N87" s="87"/>
      <c r="O87" s="87"/>
      <c r="P87" s="87"/>
      <c r="Q87" s="87"/>
      <c r="R87" s="87"/>
      <c r="S87" s="157"/>
      <c r="T87" s="157"/>
      <c r="U87" s="172"/>
      <c r="V87" s="172"/>
      <c r="W87" s="166" t="str">
        <f>_xlfn.XLOOKUP(CONCATENATE(C_Corrupción[[#This Row],[Momento de ejecución]],C_Corrupción[[#This Row],[Forma de ejecución]]),C_Atributos,C_Peso,"",0)</f>
        <v/>
      </c>
      <c r="X87" s="87" t="str">
        <f>IFERROR(_xlfn.XLOOKUP(C_Corrupción[[#This Row],[Momento de ejecución]],C_Momento,C_Efecto,,0),"")</f>
        <v/>
      </c>
      <c r="Y87" s="167">
        <f>IFERROR(IF(C_Corrupción[[#This Row],[Código riesgo]]&lt;&gt;C86,_xlfn.XLOOKUP(C_Corrupción[[#This Row],[Código riesgo]],R_Corrupción[Código riesgo],R_Corrupción[Pi %],,0)*IF(C_Corrupción[[#This Row],[Efecto]]="Probabilidad",1-C_Corrupción[[#This Row],[Peso]],1),IF(C_Corrupción[[#This Row],[Efecto]]="Probabilidad",Y86*(1-C_Corrupción[[#This Row],[Peso]]),Y86)),"")</f>
        <v>0.36</v>
      </c>
      <c r="Z87" s="168">
        <f>IFERROR(IF(C_Corrupción[[#This Row],[Código riesgo]]&lt;&gt;C86,_xlfn.XLOOKUP(C_Corrupción[[#This Row],[Código riesgo]],R_Corrupción[Código riesgo],R_Corrupción[Ii %],,0)*IF(C_Corrupción[[#This Row],[Efecto]]="Impacto",1-C_Corrupción[[#This Row],[Peso]],1),IF(C_Corrupción[[#This Row],[Efecto]]="Impacto",Z86*(1-C_Corrupción[[#This Row],[Peso]]),Z86)),"")</f>
        <v>0.75</v>
      </c>
    </row>
    <row r="88" spans="1:26" ht="66" x14ac:dyDescent="0.25">
      <c r="A88" s="163">
        <v>83</v>
      </c>
      <c r="B88" s="159" t="str">
        <f>Mapa_RC!$B$19</f>
        <v>Apropiación social del conocimiento y del patrimonio</v>
      </c>
      <c r="C88" s="169" t="str">
        <f>Mapa_RC!C$19</f>
        <v>APR-C2</v>
      </c>
      <c r="D88" s="165" t="s">
        <v>66</v>
      </c>
      <c r="E88" s="165"/>
      <c r="F88" s="165" t="s">
        <v>68</v>
      </c>
      <c r="G88" s="165"/>
      <c r="H88" s="80"/>
      <c r="I88" s="87" t="str">
        <f>IF(C_Corrupción[[#This Row],[Responsable de ejecutar]]&lt;&gt;"",CONCATENATE(C_Corrupción[[#This Row],[Código riesgo]],"-",IF(C_Corrupción[[#This Row],[Código riesgo]]&lt;&gt;C87,1,RIGHT(I87,1)+1)),"")</f>
        <v/>
      </c>
      <c r="J88" s="157"/>
      <c r="K88" s="157"/>
      <c r="L88" s="157"/>
      <c r="M88" s="87"/>
      <c r="N88" s="87"/>
      <c r="O88" s="87"/>
      <c r="P88" s="87"/>
      <c r="Q88" s="87"/>
      <c r="R88" s="87"/>
      <c r="S88" s="157"/>
      <c r="T88" s="157"/>
      <c r="U88" s="172"/>
      <c r="V88" s="172"/>
      <c r="W88" s="166" t="str">
        <f>_xlfn.XLOOKUP(CONCATENATE(C_Corrupción[[#This Row],[Momento de ejecución]],C_Corrupción[[#This Row],[Forma de ejecución]]),C_Atributos,C_Peso,"",0)</f>
        <v/>
      </c>
      <c r="X88" s="87" t="str">
        <f>IFERROR(_xlfn.XLOOKUP(C_Corrupción[[#This Row],[Momento de ejecución]],C_Momento,C_Efecto,,0),"")</f>
        <v/>
      </c>
      <c r="Y88" s="167">
        <f>IFERROR(IF(C_Corrupción[[#This Row],[Código riesgo]]&lt;&gt;C87,_xlfn.XLOOKUP(C_Corrupción[[#This Row],[Código riesgo]],R_Corrupción[Código riesgo],R_Corrupción[Pi %],,0)*IF(C_Corrupción[[#This Row],[Efecto]]="Probabilidad",1-C_Corrupción[[#This Row],[Peso]],1),IF(C_Corrupción[[#This Row],[Efecto]]="Probabilidad",Y87*(1-C_Corrupción[[#This Row],[Peso]]),Y87)),"")</f>
        <v>0.36</v>
      </c>
      <c r="Z88" s="168">
        <f>IFERROR(IF(C_Corrupción[[#This Row],[Código riesgo]]&lt;&gt;C87,_xlfn.XLOOKUP(C_Corrupción[[#This Row],[Código riesgo]],R_Corrupción[Código riesgo],R_Corrupción[Ii %],,0)*IF(C_Corrupción[[#This Row],[Efecto]]="Impacto",1-C_Corrupción[[#This Row],[Peso]],1),IF(C_Corrupción[[#This Row],[Efecto]]="Impacto",Z87*(1-C_Corrupción[[#This Row],[Peso]]),Z87)),"")</f>
        <v>0.75</v>
      </c>
    </row>
    <row r="89" spans="1:26" ht="66" x14ac:dyDescent="0.25">
      <c r="A89" s="163">
        <v>84</v>
      </c>
      <c r="B89" s="159" t="str">
        <f>Mapa_RC!$B$19</f>
        <v>Apropiación social del conocimiento y del patrimonio</v>
      </c>
      <c r="C89" s="169" t="str">
        <f>Mapa_RC!C$19</f>
        <v>APR-C2</v>
      </c>
      <c r="D89" s="170" t="s">
        <v>378</v>
      </c>
      <c r="E89" s="170" t="s">
        <v>378</v>
      </c>
      <c r="F89" s="170" t="s">
        <v>378</v>
      </c>
      <c r="G89" s="164">
        <f>COUNTA(D84:G88)</f>
        <v>12</v>
      </c>
      <c r="H89" s="80"/>
      <c r="I89" s="87" t="str">
        <f>IF(C_Corrupción[[#This Row],[Responsable de ejecutar]]&lt;&gt;"",CONCATENATE(C_Corrupción[[#This Row],[Código riesgo]],"-",IF(C_Corrupción[[#This Row],[Código riesgo]]&lt;&gt;C88,1,RIGHT(I88,1)+1)),"")</f>
        <v/>
      </c>
      <c r="J89" s="157"/>
      <c r="K89" s="157"/>
      <c r="L89" s="157"/>
      <c r="M89" s="87"/>
      <c r="N89" s="87"/>
      <c r="O89" s="87"/>
      <c r="P89" s="87"/>
      <c r="Q89" s="87"/>
      <c r="R89" s="87"/>
      <c r="S89" s="157"/>
      <c r="T89" s="157"/>
      <c r="U89" s="172"/>
      <c r="V89" s="172"/>
      <c r="W89" s="166" t="str">
        <f>_xlfn.XLOOKUP(CONCATENATE(C_Corrupción[[#This Row],[Momento de ejecución]],C_Corrupción[[#This Row],[Forma de ejecución]]),C_Atributos,C_Peso,"",0)</f>
        <v/>
      </c>
      <c r="X89" s="87" t="str">
        <f>IFERROR(_xlfn.XLOOKUP(C_Corrupción[[#This Row],[Momento de ejecución]],C_Momento,C_Efecto,,0),"")</f>
        <v/>
      </c>
      <c r="Y89" s="167">
        <f>IFERROR(IF(C_Corrupción[[#This Row],[Código riesgo]]&lt;&gt;C88,_xlfn.XLOOKUP(C_Corrupción[[#This Row],[Código riesgo]],R_Corrupción[Código riesgo],R_Corrupción[Pi %],,0)*IF(C_Corrupción[[#This Row],[Efecto]]="Probabilidad",1-C_Corrupción[[#This Row],[Peso]],1),IF(C_Corrupción[[#This Row],[Efecto]]="Probabilidad",Y88*(1-C_Corrupción[[#This Row],[Peso]]),Y88)),"")</f>
        <v>0.36</v>
      </c>
      <c r="Z89" s="168">
        <f>IFERROR(IF(C_Corrupción[[#This Row],[Código riesgo]]&lt;&gt;C88,_xlfn.XLOOKUP(C_Corrupción[[#This Row],[Código riesgo]],R_Corrupción[Código riesgo],R_Corrupción[Ii %],,0)*IF(C_Corrupción[[#This Row],[Efecto]]="Impacto",1-C_Corrupción[[#This Row],[Peso]],1),IF(C_Corrupción[[#This Row],[Efecto]]="Impacto",Z88*(1-C_Corrupción[[#This Row],[Peso]]),Z88)),"")</f>
        <v>0.75</v>
      </c>
    </row>
    <row r="90" spans="1:26" ht="313.5" x14ac:dyDescent="0.25">
      <c r="A90" s="163">
        <v>85</v>
      </c>
      <c r="B90" s="159" t="str">
        <f>Mapa_RC!$B$20</f>
        <v>Adquisiciones</v>
      </c>
      <c r="C90" s="164" t="str">
        <f>Mapa_RC!C$20</f>
        <v>ADQ-C2</v>
      </c>
      <c r="D90" s="165" t="s">
        <v>50</v>
      </c>
      <c r="E90" s="165" t="s">
        <v>51</v>
      </c>
      <c r="F90" s="165" t="s">
        <v>365</v>
      </c>
      <c r="G90" s="165" t="s">
        <v>53</v>
      </c>
      <c r="H90" s="80" t="s">
        <v>587</v>
      </c>
      <c r="I90" s="87" t="str">
        <f>IF(C_Corrupción[[#This Row],[Responsable de ejecutar]]&lt;&gt;"",CONCATENATE(C_Corrupción[[#This Row],[Código riesgo]],"-",IF(C_Corrupción[[#This Row],[Código riesgo]]&lt;&gt;C89,1,RIGHT(I89,1)+1)),"")</f>
        <v>ADQ-C2-1</v>
      </c>
      <c r="J90" s="157" t="s">
        <v>588</v>
      </c>
      <c r="K90" s="157" t="s">
        <v>589</v>
      </c>
      <c r="L90" s="157" t="s">
        <v>590</v>
      </c>
      <c r="M90" s="87" t="s">
        <v>17</v>
      </c>
      <c r="N90" s="87" t="s">
        <v>30</v>
      </c>
      <c r="O90" s="87" t="s">
        <v>591</v>
      </c>
      <c r="P90" s="87" t="s">
        <v>131</v>
      </c>
      <c r="Q90" s="87" t="s">
        <v>693</v>
      </c>
      <c r="R90" s="87" t="s">
        <v>212</v>
      </c>
      <c r="S90" s="157" t="s">
        <v>698</v>
      </c>
      <c r="T90" s="157" t="s">
        <v>588</v>
      </c>
      <c r="U90" s="172">
        <v>45536</v>
      </c>
      <c r="V90" s="172">
        <v>45657</v>
      </c>
      <c r="W90" s="166">
        <f>_xlfn.XLOOKUP(CONCATENATE(C_Corrupción[[#This Row],[Momento de ejecución]],C_Corrupción[[#This Row],[Forma de ejecución]]),C_Atributos,C_Peso,"",0)</f>
        <v>0.4</v>
      </c>
      <c r="X90" s="87" t="str">
        <f>IFERROR(_xlfn.XLOOKUP(C_Corrupción[[#This Row],[Momento de ejecución]],C_Momento,C_Efecto,,0),"")</f>
        <v>Probabilidad</v>
      </c>
      <c r="Y90" s="167">
        <f>IFERROR(IF(C_Corrupción[[#This Row],[Código riesgo]]&lt;&gt;C89,_xlfn.XLOOKUP(C_Corrupción[[#This Row],[Código riesgo]],R_Corrupción[Código riesgo],R_Corrupción[Pi %],,0)*IF(C_Corrupción[[#This Row],[Efecto]]="Probabilidad",1-C_Corrupción[[#This Row],[Peso]],1),IF(C_Corrupción[[#This Row],[Efecto]]="Probabilidad",Y89*(1-C_Corrupción[[#This Row],[Peso]]),Y89)),"")</f>
        <v>0.36</v>
      </c>
      <c r="Z90" s="168">
        <f>IFERROR(IF(C_Corrupción[[#This Row],[Código riesgo]]&lt;&gt;C89,_xlfn.XLOOKUP(C_Corrupción[[#This Row],[Código riesgo]],R_Corrupción[Código riesgo],R_Corrupción[Ii %],,0)*IF(C_Corrupción[[#This Row],[Efecto]]="Impacto",1-C_Corrupción[[#This Row],[Peso]],1),IF(C_Corrupción[[#This Row],[Efecto]]="Impacto",Z89*(1-C_Corrupción[[#This Row],[Peso]]),Z89)),"")</f>
        <v>0.8</v>
      </c>
    </row>
    <row r="91" spans="1:26" ht="82.5" x14ac:dyDescent="0.25">
      <c r="A91" s="163">
        <v>86</v>
      </c>
      <c r="B91" s="159" t="str">
        <f>Mapa_RC!$B$20</f>
        <v>Adquisiciones</v>
      </c>
      <c r="C91" s="169" t="str">
        <f>Mapa_RC!C$20</f>
        <v>ADQ-C2</v>
      </c>
      <c r="D91" s="165" t="s">
        <v>54</v>
      </c>
      <c r="E91" s="165"/>
      <c r="F91" s="165" t="s">
        <v>56</v>
      </c>
      <c r="G91" s="165"/>
      <c r="H91" s="80" t="s">
        <v>592</v>
      </c>
      <c r="I91" s="87" t="str">
        <f>IF(C_Corrupción[[#This Row],[Responsable de ejecutar]]&lt;&gt;"",CONCATENATE(C_Corrupción[[#This Row],[Código riesgo]],"-",IF(C_Corrupción[[#This Row],[Código riesgo]]&lt;&gt;C90,1,RIGHT(I90,1)+1)),"")</f>
        <v>ADQ-C2-2</v>
      </c>
      <c r="J91" s="157" t="s">
        <v>593</v>
      </c>
      <c r="K91" s="157" t="s">
        <v>697</v>
      </c>
      <c r="L91" s="157" t="s">
        <v>594</v>
      </c>
      <c r="M91" s="87" t="s">
        <v>17</v>
      </c>
      <c r="N91" s="87" t="s">
        <v>30</v>
      </c>
      <c r="O91" s="87" t="s">
        <v>109</v>
      </c>
      <c r="P91" s="87" t="s">
        <v>115</v>
      </c>
      <c r="Q91" s="87" t="s">
        <v>452</v>
      </c>
      <c r="R91" s="87"/>
      <c r="S91" s="157"/>
      <c r="T91" s="157"/>
      <c r="U91" s="172"/>
      <c r="V91" s="172"/>
      <c r="W91" s="166">
        <f>_xlfn.XLOOKUP(CONCATENATE(C_Corrupción[[#This Row],[Momento de ejecución]],C_Corrupción[[#This Row],[Forma de ejecución]]),C_Atributos,C_Peso,"",0)</f>
        <v>0.4</v>
      </c>
      <c r="X91" s="87" t="str">
        <f>IFERROR(_xlfn.XLOOKUP(C_Corrupción[[#This Row],[Momento de ejecución]],C_Momento,C_Efecto,,0),"")</f>
        <v>Probabilidad</v>
      </c>
      <c r="Y91" s="167">
        <f>IFERROR(IF(C_Corrupción[[#This Row],[Código riesgo]]&lt;&gt;C90,_xlfn.XLOOKUP(C_Corrupción[[#This Row],[Código riesgo]],R_Corrupción[Código riesgo],R_Corrupción[Pi %],,0)*IF(C_Corrupción[[#This Row],[Efecto]]="Probabilidad",1-C_Corrupción[[#This Row],[Peso]],1),IF(C_Corrupción[[#This Row],[Efecto]]="Probabilidad",Y90*(1-C_Corrupción[[#This Row],[Peso]]),Y90)),"")</f>
        <v>0.216</v>
      </c>
      <c r="Z91" s="168">
        <f>IFERROR(IF(C_Corrupción[[#This Row],[Código riesgo]]&lt;&gt;C90,_xlfn.XLOOKUP(C_Corrupción[[#This Row],[Código riesgo]],R_Corrupción[Código riesgo],R_Corrupción[Ii %],,0)*IF(C_Corrupción[[#This Row],[Efecto]]="Impacto",1-C_Corrupción[[#This Row],[Peso]],1),IF(C_Corrupción[[#This Row],[Efecto]]="Impacto",Z90*(1-C_Corrupción[[#This Row],[Peso]]),Z90)),"")</f>
        <v>0.8</v>
      </c>
    </row>
    <row r="92" spans="1:26" ht="99" x14ac:dyDescent="0.25">
      <c r="A92" s="163">
        <v>87</v>
      </c>
      <c r="B92" s="159" t="str">
        <f>Mapa_RC!$B$20</f>
        <v>Adquisiciones</v>
      </c>
      <c r="C92" s="169" t="str">
        <f>Mapa_RC!C$20</f>
        <v>ADQ-C2</v>
      </c>
      <c r="D92" s="165" t="s">
        <v>58</v>
      </c>
      <c r="E92" s="165" t="s">
        <v>59</v>
      </c>
      <c r="F92" s="165" t="s">
        <v>60</v>
      </c>
      <c r="G92" s="165"/>
      <c r="H92" s="80" t="s">
        <v>595</v>
      </c>
      <c r="I92" s="87" t="str">
        <f>IF(C_Corrupción[[#This Row],[Responsable de ejecutar]]&lt;&gt;"",CONCATENATE(C_Corrupción[[#This Row],[Código riesgo]],"-",IF(C_Corrupción[[#This Row],[Código riesgo]]&lt;&gt;C91,1,RIGHT(I91,1)+1)),"")</f>
        <v>ADQ-C2-3</v>
      </c>
      <c r="J92" s="157" t="s">
        <v>596</v>
      </c>
      <c r="K92" s="157" t="s">
        <v>597</v>
      </c>
      <c r="L92" s="157" t="s">
        <v>598</v>
      </c>
      <c r="M92" s="87" t="s">
        <v>23</v>
      </c>
      <c r="N92" s="87" t="s">
        <v>30</v>
      </c>
      <c r="O92" s="87" t="s">
        <v>109</v>
      </c>
      <c r="P92" s="87" t="s">
        <v>115</v>
      </c>
      <c r="Q92" s="87" t="s">
        <v>452</v>
      </c>
      <c r="R92" s="87"/>
      <c r="S92" s="157"/>
      <c r="T92" s="157"/>
      <c r="U92" s="172"/>
      <c r="V92" s="172"/>
      <c r="W92" s="166">
        <f>_xlfn.XLOOKUP(CONCATENATE(C_Corrupción[[#This Row],[Momento de ejecución]],C_Corrupción[[#This Row],[Forma de ejecución]]),C_Atributos,C_Peso,"",0)</f>
        <v>0.25</v>
      </c>
      <c r="X92" s="87" t="str">
        <f>IFERROR(_xlfn.XLOOKUP(C_Corrupción[[#This Row],[Momento de ejecución]],C_Momento,C_Efecto,,0),"")</f>
        <v>Impacto</v>
      </c>
      <c r="Y92" s="167">
        <f>IFERROR(IF(C_Corrupción[[#This Row],[Código riesgo]]&lt;&gt;C91,_xlfn.XLOOKUP(C_Corrupción[[#This Row],[Código riesgo]],R_Corrupción[Código riesgo],R_Corrupción[Pi %],,0)*IF(C_Corrupción[[#This Row],[Efecto]]="Probabilidad",1-C_Corrupción[[#This Row],[Peso]],1),IF(C_Corrupción[[#This Row],[Efecto]]="Probabilidad",Y91*(1-C_Corrupción[[#This Row],[Peso]]),Y91)),"")</f>
        <v>0.216</v>
      </c>
      <c r="Z92" s="168">
        <f>IFERROR(IF(C_Corrupción[[#This Row],[Código riesgo]]&lt;&gt;C91,_xlfn.XLOOKUP(C_Corrupción[[#This Row],[Código riesgo]],R_Corrupción[Código riesgo],R_Corrupción[Ii %],,0)*IF(C_Corrupción[[#This Row],[Efecto]]="Impacto",1-C_Corrupción[[#This Row],[Peso]],1),IF(C_Corrupción[[#This Row],[Efecto]]="Impacto",Z91*(1-C_Corrupción[[#This Row],[Peso]]),Z91)),"")</f>
        <v>0.60000000000000009</v>
      </c>
    </row>
    <row r="93" spans="1:26" ht="33" x14ac:dyDescent="0.25">
      <c r="A93" s="163">
        <v>88</v>
      </c>
      <c r="B93" s="159" t="str">
        <f>Mapa_RC!$B$20</f>
        <v>Adquisiciones</v>
      </c>
      <c r="C93" s="169" t="str">
        <f>Mapa_RC!C$20</f>
        <v>ADQ-C2</v>
      </c>
      <c r="D93" s="165"/>
      <c r="E93" s="165"/>
      <c r="F93" s="165" t="s">
        <v>64</v>
      </c>
      <c r="G93" s="165"/>
      <c r="H93" s="80"/>
      <c r="I93" s="87" t="str">
        <f>IF(C_Corrupción[[#This Row],[Responsable de ejecutar]]&lt;&gt;"",CONCATENATE(C_Corrupción[[#This Row],[Código riesgo]],"-",IF(C_Corrupción[[#This Row],[Código riesgo]]&lt;&gt;C92,1,RIGHT(I92,1)+1)),"")</f>
        <v/>
      </c>
      <c r="J93" s="157"/>
      <c r="K93" s="157"/>
      <c r="L93" s="157"/>
      <c r="M93" s="87"/>
      <c r="N93" s="87"/>
      <c r="O93" s="87"/>
      <c r="P93" s="87"/>
      <c r="Q93" s="87"/>
      <c r="R93" s="87"/>
      <c r="S93" s="157"/>
      <c r="T93" s="157"/>
      <c r="U93" s="172"/>
      <c r="V93" s="172"/>
      <c r="W93" s="166" t="str">
        <f>_xlfn.XLOOKUP(CONCATENATE(C_Corrupción[[#This Row],[Momento de ejecución]],C_Corrupción[[#This Row],[Forma de ejecución]]),C_Atributos,C_Peso,"",0)</f>
        <v/>
      </c>
      <c r="X93" s="87" t="str">
        <f>IFERROR(_xlfn.XLOOKUP(C_Corrupción[[#This Row],[Momento de ejecución]],C_Momento,C_Efecto,,0),"")</f>
        <v/>
      </c>
      <c r="Y93" s="167">
        <f>IFERROR(IF(C_Corrupción[[#This Row],[Código riesgo]]&lt;&gt;C92,_xlfn.XLOOKUP(C_Corrupción[[#This Row],[Código riesgo]],R_Corrupción[Código riesgo],R_Corrupción[Pi %],,0)*IF(C_Corrupción[[#This Row],[Efecto]]="Probabilidad",1-C_Corrupción[[#This Row],[Peso]],1),IF(C_Corrupción[[#This Row],[Efecto]]="Probabilidad",Y92*(1-C_Corrupción[[#This Row],[Peso]]),Y92)),"")</f>
        <v>0.216</v>
      </c>
      <c r="Z93" s="168">
        <f>IFERROR(IF(C_Corrupción[[#This Row],[Código riesgo]]&lt;&gt;C92,_xlfn.XLOOKUP(C_Corrupción[[#This Row],[Código riesgo]],R_Corrupción[Código riesgo],R_Corrupción[Ii %],,0)*IF(C_Corrupción[[#This Row],[Efecto]]="Impacto",1-C_Corrupción[[#This Row],[Peso]],1),IF(C_Corrupción[[#This Row],[Efecto]]="Impacto",Z92*(1-C_Corrupción[[#This Row],[Peso]]),Z92)),"")</f>
        <v>0.60000000000000009</v>
      </c>
    </row>
    <row r="94" spans="1:26" s="17" customFormat="1" ht="33" x14ac:dyDescent="0.25">
      <c r="A94" s="163">
        <v>89</v>
      </c>
      <c r="B94" s="159" t="str">
        <f>Mapa_RC!$B$20</f>
        <v>Adquisiciones</v>
      </c>
      <c r="C94" s="169" t="str">
        <f>Mapa_RC!C$20</f>
        <v>ADQ-C2</v>
      </c>
      <c r="D94" s="165"/>
      <c r="E94" s="165"/>
      <c r="F94" s="165" t="s">
        <v>68</v>
      </c>
      <c r="G94" s="165"/>
      <c r="H94" s="80"/>
      <c r="I94" s="87" t="str">
        <f>IF(C_Corrupción[[#This Row],[Responsable de ejecutar]]&lt;&gt;"",CONCATENATE(C_Corrupción[[#This Row],[Código riesgo]],"-",IF(C_Corrupción[[#This Row],[Código riesgo]]&lt;&gt;C93,1,RIGHT(I93,1)+1)),"")</f>
        <v/>
      </c>
      <c r="J94" s="157"/>
      <c r="K94" s="157"/>
      <c r="L94" s="157"/>
      <c r="M94" s="87"/>
      <c r="N94" s="87"/>
      <c r="O94" s="87"/>
      <c r="P94" s="87"/>
      <c r="Q94" s="87"/>
      <c r="R94" s="87"/>
      <c r="S94" s="157"/>
      <c r="T94" s="157"/>
      <c r="U94" s="172"/>
      <c r="V94" s="172"/>
      <c r="W94" s="166" t="str">
        <f>_xlfn.XLOOKUP(CONCATENATE(C_Corrupción[[#This Row],[Momento de ejecución]],C_Corrupción[[#This Row],[Forma de ejecución]]),C_Atributos,C_Peso,"",0)</f>
        <v/>
      </c>
      <c r="X94" s="87" t="str">
        <f>IFERROR(_xlfn.XLOOKUP(C_Corrupción[[#This Row],[Momento de ejecución]],C_Momento,C_Efecto,,0),"")</f>
        <v/>
      </c>
      <c r="Y94" s="167">
        <f>IFERROR(IF(C_Corrupción[[#This Row],[Código riesgo]]&lt;&gt;C93,_xlfn.XLOOKUP(C_Corrupción[[#This Row],[Código riesgo]],R_Corrupción[Código riesgo],R_Corrupción[Pi %],,0)*IF(C_Corrupción[[#This Row],[Efecto]]="Probabilidad",1-C_Corrupción[[#This Row],[Peso]],1),IF(C_Corrupción[[#This Row],[Efecto]]="Probabilidad",Y93*(1-C_Corrupción[[#This Row],[Peso]]),Y93)),"")</f>
        <v>0.216</v>
      </c>
      <c r="Z94" s="168">
        <f>IFERROR(IF(C_Corrupción[[#This Row],[Código riesgo]]&lt;&gt;C93,_xlfn.XLOOKUP(C_Corrupción[[#This Row],[Código riesgo]],R_Corrupción[Código riesgo],R_Corrupción[Ii %],,0)*IF(C_Corrupción[[#This Row],[Efecto]]="Impacto",1-C_Corrupción[[#This Row],[Peso]],1),IF(C_Corrupción[[#This Row],[Efecto]]="Impacto",Z93*(1-C_Corrupción[[#This Row],[Peso]]),Z93)),"")</f>
        <v>0.60000000000000009</v>
      </c>
    </row>
    <row r="95" spans="1:26" s="17" customFormat="1" x14ac:dyDescent="0.25">
      <c r="A95" s="163">
        <v>90</v>
      </c>
      <c r="B95" s="159" t="str">
        <f>Mapa_RC!$B$20</f>
        <v>Adquisiciones</v>
      </c>
      <c r="C95" s="169" t="str">
        <f>Mapa_RC!C$20</f>
        <v>ADQ-C2</v>
      </c>
      <c r="D95" s="170" t="s">
        <v>378</v>
      </c>
      <c r="E95" s="170" t="s">
        <v>378</v>
      </c>
      <c r="F95" s="170" t="s">
        <v>378</v>
      </c>
      <c r="G95" s="164">
        <f>COUNTA(D90:G94)</f>
        <v>11</v>
      </c>
      <c r="H95" s="80"/>
      <c r="I95" s="87" t="str">
        <f>IF(C_Corrupción[[#This Row],[Responsable de ejecutar]]&lt;&gt;"",CONCATENATE(C_Corrupción[[#This Row],[Código riesgo]],"-",IF(C_Corrupción[[#This Row],[Código riesgo]]&lt;&gt;C94,1,RIGHT(I94,1)+1)),"")</f>
        <v/>
      </c>
      <c r="J95" s="157"/>
      <c r="K95" s="157"/>
      <c r="L95" s="157"/>
      <c r="M95" s="87"/>
      <c r="N95" s="87"/>
      <c r="O95" s="87"/>
      <c r="P95" s="87"/>
      <c r="Q95" s="87"/>
      <c r="R95" s="87"/>
      <c r="S95" s="157"/>
      <c r="T95" s="157"/>
      <c r="U95" s="172"/>
      <c r="V95" s="172"/>
      <c r="W95" s="166" t="str">
        <f>_xlfn.XLOOKUP(CONCATENATE(C_Corrupción[[#This Row],[Momento de ejecución]],C_Corrupción[[#This Row],[Forma de ejecución]]),C_Atributos,C_Peso,"",0)</f>
        <v/>
      </c>
      <c r="X95" s="87" t="str">
        <f>IFERROR(_xlfn.XLOOKUP(C_Corrupción[[#This Row],[Momento de ejecución]],C_Momento,C_Efecto,,0),"")</f>
        <v/>
      </c>
      <c r="Y95" s="167">
        <f>IFERROR(IF(C_Corrupción[[#This Row],[Código riesgo]]&lt;&gt;C94,_xlfn.XLOOKUP(C_Corrupción[[#This Row],[Código riesgo]],R_Corrupción[Código riesgo],R_Corrupción[Pi %],,0)*IF(C_Corrupción[[#This Row],[Efecto]]="Probabilidad",1-C_Corrupción[[#This Row],[Peso]],1),IF(C_Corrupción[[#This Row],[Efecto]]="Probabilidad",Y94*(1-C_Corrupción[[#This Row],[Peso]]),Y94)),"")</f>
        <v>0.216</v>
      </c>
      <c r="Z95" s="168">
        <f>IFERROR(IF(C_Corrupción[[#This Row],[Código riesgo]]&lt;&gt;C94,_xlfn.XLOOKUP(C_Corrupción[[#This Row],[Código riesgo]],R_Corrupción[Código riesgo],R_Corrupción[Ii %],,0)*IF(C_Corrupción[[#This Row],[Efecto]]="Impacto",1-C_Corrupción[[#This Row],[Peso]],1),IF(C_Corrupción[[#This Row],[Efecto]]="Impacto",Z94*(1-C_Corrupción[[#This Row],[Peso]]),Z94)),"")</f>
        <v>0.60000000000000009</v>
      </c>
    </row>
    <row r="96" spans="1:26" s="17" customFormat="1" ht="148.5" x14ac:dyDescent="0.25">
      <c r="A96" s="163">
        <v>91</v>
      </c>
      <c r="B96" s="159" t="str">
        <f>Mapa_RC!$B$21</f>
        <v>Apropiación social del conocimiento y del patrimonio</v>
      </c>
      <c r="C96" s="164" t="str">
        <f>Mapa_RC!C$21</f>
        <v>APR-C3</v>
      </c>
      <c r="D96" s="165" t="s">
        <v>50</v>
      </c>
      <c r="E96" s="165" t="s">
        <v>51</v>
      </c>
      <c r="F96" s="165" t="s">
        <v>365</v>
      </c>
      <c r="G96" s="165" t="s">
        <v>53</v>
      </c>
      <c r="H96" s="80" t="s">
        <v>599</v>
      </c>
      <c r="I96" s="87" t="str">
        <f>IF(C_Corrupción[[#This Row],[Responsable de ejecutar]]&lt;&gt;"",CONCATENATE(C_Corrupción[[#This Row],[Código riesgo]],"-",IF(C_Corrupción[[#This Row],[Código riesgo]]&lt;&gt;C95,1,RIGHT(I95,1)+1)),"")</f>
        <v>APR-C3-1</v>
      </c>
      <c r="J96" s="171" t="s">
        <v>600</v>
      </c>
      <c r="K96" s="171" t="s">
        <v>601</v>
      </c>
      <c r="L96" s="171" t="s">
        <v>602</v>
      </c>
      <c r="M96" s="163" t="s">
        <v>17</v>
      </c>
      <c r="N96" s="163" t="s">
        <v>30</v>
      </c>
      <c r="O96" s="163" t="s">
        <v>603</v>
      </c>
      <c r="P96" s="163" t="s">
        <v>384</v>
      </c>
      <c r="Q96" s="163" t="s">
        <v>604</v>
      </c>
      <c r="R96" s="163" t="s">
        <v>212</v>
      </c>
      <c r="S96" s="171" t="s">
        <v>605</v>
      </c>
      <c r="T96" s="171" t="s">
        <v>606</v>
      </c>
      <c r="U96" s="172">
        <v>45383</v>
      </c>
      <c r="V96" s="173">
        <v>45535</v>
      </c>
      <c r="W96" s="166">
        <f>_xlfn.XLOOKUP(CONCATENATE(C_Corrupción[[#This Row],[Momento de ejecución]],C_Corrupción[[#This Row],[Forma de ejecución]]),C_Atributos,C_Peso,"",0)</f>
        <v>0.4</v>
      </c>
      <c r="X96" s="87" t="str">
        <f>IFERROR(_xlfn.XLOOKUP(C_Corrupción[[#This Row],[Momento de ejecución]],C_Momento,C_Efecto,,0),"")</f>
        <v>Probabilidad</v>
      </c>
      <c r="Y96" s="167">
        <f>IFERROR(IF(C_Corrupción[[#This Row],[Código riesgo]]&lt;&gt;C95,_xlfn.XLOOKUP(C_Corrupción[[#This Row],[Código riesgo]],R_Corrupción[Código riesgo],R_Corrupción[Pi %],,0)*IF(C_Corrupción[[#This Row],[Efecto]]="Probabilidad",1-C_Corrupción[[#This Row],[Peso]],1),IF(C_Corrupción[[#This Row],[Efecto]]="Probabilidad",Y95*(1-C_Corrupción[[#This Row],[Peso]]),Y95)),"")</f>
        <v>0.24</v>
      </c>
      <c r="Z96" s="168">
        <f>IFERROR(IF(C_Corrupción[[#This Row],[Código riesgo]]&lt;&gt;C95,_xlfn.XLOOKUP(C_Corrupción[[#This Row],[Código riesgo]],R_Corrupción[Código riesgo],R_Corrupción[Ii %],,0)*IF(C_Corrupción[[#This Row],[Efecto]]="Impacto",1-C_Corrupción[[#This Row],[Peso]],1),IF(C_Corrupción[[#This Row],[Efecto]]="Impacto",Z95*(1-C_Corrupción[[#This Row],[Peso]]),Z95)),"")</f>
        <v>1</v>
      </c>
    </row>
    <row r="97" spans="1:26" s="17" customFormat="1" ht="82.5" x14ac:dyDescent="0.25">
      <c r="A97" s="163">
        <v>92</v>
      </c>
      <c r="B97" s="159" t="str">
        <f>Mapa_RC!$B$21</f>
        <v>Apropiación social del conocimiento y del patrimonio</v>
      </c>
      <c r="C97" s="169" t="str">
        <f>Mapa_RC!C$21</f>
        <v>APR-C3</v>
      </c>
      <c r="D97" s="165" t="s">
        <v>54</v>
      </c>
      <c r="E97" s="165"/>
      <c r="F97" s="165" t="s">
        <v>56</v>
      </c>
      <c r="G97" s="165"/>
      <c r="H97" s="80" t="s">
        <v>607</v>
      </c>
      <c r="I97" s="87" t="str">
        <f>IF(C_Corrupción[[#This Row],[Responsable de ejecutar]]&lt;&gt;"",CONCATENATE(C_Corrupción[[#This Row],[Código riesgo]],"-",IF(C_Corrupción[[#This Row],[Código riesgo]]&lt;&gt;C96,1,RIGHT(I96,1)+1)),"")</f>
        <v>APR-C3-2</v>
      </c>
      <c r="J97" s="171" t="s">
        <v>608</v>
      </c>
      <c r="K97" s="171" t="s">
        <v>609</v>
      </c>
      <c r="L97" s="171" t="s">
        <v>610</v>
      </c>
      <c r="M97" s="163" t="s">
        <v>17</v>
      </c>
      <c r="N97" s="163" t="s">
        <v>30</v>
      </c>
      <c r="O97" s="87" t="s">
        <v>109</v>
      </c>
      <c r="P97" s="163" t="s">
        <v>115</v>
      </c>
      <c r="Q97" s="163" t="s">
        <v>611</v>
      </c>
      <c r="R97" s="163" t="s">
        <v>212</v>
      </c>
      <c r="S97" s="171" t="s">
        <v>612</v>
      </c>
      <c r="T97" s="157" t="s">
        <v>606</v>
      </c>
      <c r="U97" s="172">
        <v>45383</v>
      </c>
      <c r="V97" s="173">
        <v>45535</v>
      </c>
      <c r="W97" s="166">
        <f>_xlfn.XLOOKUP(CONCATENATE(C_Corrupción[[#This Row],[Momento de ejecución]],C_Corrupción[[#This Row],[Forma de ejecución]]),C_Atributos,C_Peso,"",0)</f>
        <v>0.4</v>
      </c>
      <c r="X97" s="87" t="str">
        <f>IFERROR(_xlfn.XLOOKUP(C_Corrupción[[#This Row],[Momento de ejecución]],C_Momento,C_Efecto,,0),"")</f>
        <v>Probabilidad</v>
      </c>
      <c r="Y97" s="167">
        <f>IFERROR(IF(C_Corrupción[[#This Row],[Código riesgo]]&lt;&gt;C96,_xlfn.XLOOKUP(C_Corrupción[[#This Row],[Código riesgo]],R_Corrupción[Código riesgo],R_Corrupción[Pi %],,0)*IF(C_Corrupción[[#This Row],[Efecto]]="Probabilidad",1-C_Corrupción[[#This Row],[Peso]],1),IF(C_Corrupción[[#This Row],[Efecto]]="Probabilidad",Y96*(1-C_Corrupción[[#This Row],[Peso]]),Y96)),"")</f>
        <v>0.14399999999999999</v>
      </c>
      <c r="Z97" s="168">
        <f>IFERROR(IF(C_Corrupción[[#This Row],[Código riesgo]]&lt;&gt;C96,_xlfn.XLOOKUP(C_Corrupción[[#This Row],[Código riesgo]],R_Corrupción[Código riesgo],R_Corrupción[Ii %],,0)*IF(C_Corrupción[[#This Row],[Efecto]]="Impacto",1-C_Corrupción[[#This Row],[Peso]],1),IF(C_Corrupción[[#This Row],[Efecto]]="Impacto",Z96*(1-C_Corrupción[[#This Row],[Peso]]),Z96)),"")</f>
        <v>1</v>
      </c>
    </row>
    <row r="98" spans="1:26" s="17" customFormat="1" ht="132" x14ac:dyDescent="0.25">
      <c r="A98" s="163">
        <v>93</v>
      </c>
      <c r="B98" s="159" t="str">
        <f>Mapa_RC!$B$21</f>
        <v>Apropiación social del conocimiento y del patrimonio</v>
      </c>
      <c r="C98" s="169" t="str">
        <f>Mapa_RC!C$21</f>
        <v>APR-C3</v>
      </c>
      <c r="D98" s="165" t="s">
        <v>58</v>
      </c>
      <c r="E98" s="165" t="s">
        <v>59</v>
      </c>
      <c r="F98" s="165" t="s">
        <v>60</v>
      </c>
      <c r="G98" s="165"/>
      <c r="H98" s="80" t="s">
        <v>613</v>
      </c>
      <c r="I98" s="87" t="str">
        <f>IF(C_Corrupción[[#This Row],[Responsable de ejecutar]]&lt;&gt;"",CONCATENATE(C_Corrupción[[#This Row],[Código riesgo]],"-",IF(C_Corrupción[[#This Row],[Código riesgo]]&lt;&gt;C97,1,RIGHT(I97,1)+1)),"")</f>
        <v>APR-C3-3</v>
      </c>
      <c r="J98" s="171" t="s">
        <v>614</v>
      </c>
      <c r="K98" s="171" t="s">
        <v>615</v>
      </c>
      <c r="L98" s="171" t="s">
        <v>616</v>
      </c>
      <c r="M98" s="163" t="s">
        <v>20</v>
      </c>
      <c r="N98" s="163" t="s">
        <v>30</v>
      </c>
      <c r="O98" s="87" t="s">
        <v>109</v>
      </c>
      <c r="P98" s="163" t="s">
        <v>115</v>
      </c>
      <c r="Q98" s="163" t="s">
        <v>539</v>
      </c>
      <c r="R98" s="163" t="s">
        <v>212</v>
      </c>
      <c r="S98" s="171" t="s">
        <v>617</v>
      </c>
      <c r="T98" s="171" t="s">
        <v>618</v>
      </c>
      <c r="U98" s="172">
        <v>45413</v>
      </c>
      <c r="V98" s="173">
        <v>45657</v>
      </c>
      <c r="W98" s="166">
        <f>_xlfn.XLOOKUP(CONCATENATE(C_Corrupción[[#This Row],[Momento de ejecución]],C_Corrupción[[#This Row],[Forma de ejecución]]),C_Atributos,C_Peso,"",0)</f>
        <v>0.3</v>
      </c>
      <c r="X98" s="87" t="str">
        <f>IFERROR(_xlfn.XLOOKUP(C_Corrupción[[#This Row],[Momento de ejecución]],C_Momento,C_Efecto,,0),"")</f>
        <v>Probabilidad</v>
      </c>
      <c r="Y98" s="167">
        <f>IFERROR(IF(C_Corrupción[[#This Row],[Código riesgo]]&lt;&gt;C97,_xlfn.XLOOKUP(C_Corrupción[[#This Row],[Código riesgo]],R_Corrupción[Código riesgo],R_Corrupción[Pi %],,0)*IF(C_Corrupción[[#This Row],[Efecto]]="Probabilidad",1-C_Corrupción[[#This Row],[Peso]],1),IF(C_Corrupción[[#This Row],[Efecto]]="Probabilidad",Y97*(1-C_Corrupción[[#This Row],[Peso]]),Y97)),"")</f>
        <v>0.10079999999999999</v>
      </c>
      <c r="Z98" s="168">
        <f>IFERROR(IF(C_Corrupción[[#This Row],[Código riesgo]]&lt;&gt;C97,_xlfn.XLOOKUP(C_Corrupción[[#This Row],[Código riesgo]],R_Corrupción[Código riesgo],R_Corrupción[Ii %],,0)*IF(C_Corrupción[[#This Row],[Efecto]]="Impacto",1-C_Corrupción[[#This Row],[Peso]],1),IF(C_Corrupción[[#This Row],[Efecto]]="Impacto",Z97*(1-C_Corrupción[[#This Row],[Peso]]),Z97)),"")</f>
        <v>1</v>
      </c>
    </row>
    <row r="99" spans="1:26" s="17" customFormat="1" ht="148.5" x14ac:dyDescent="0.25">
      <c r="A99" s="163">
        <v>94</v>
      </c>
      <c r="B99" s="159" t="str">
        <f>Mapa_RC!$B$21</f>
        <v>Apropiación social del conocimiento y del patrimonio</v>
      </c>
      <c r="C99" s="169" t="str">
        <f>Mapa_RC!C$21</f>
        <v>APR-C3</v>
      </c>
      <c r="D99" s="165"/>
      <c r="E99" s="165"/>
      <c r="F99" s="165" t="s">
        <v>64</v>
      </c>
      <c r="G99" s="165"/>
      <c r="H99" s="80" t="s">
        <v>619</v>
      </c>
      <c r="I99" s="87" t="str">
        <f>IF(C_Corrupción[[#This Row],[Responsable de ejecutar]]&lt;&gt;"",CONCATENATE(C_Corrupción[[#This Row],[Código riesgo]],"-",IF(C_Corrupción[[#This Row],[Código riesgo]]&lt;&gt;C98,1,RIGHT(I98,1)+1)),"")</f>
        <v>APR-C3-4</v>
      </c>
      <c r="J99" s="171" t="s">
        <v>401</v>
      </c>
      <c r="K99" s="171" t="s">
        <v>620</v>
      </c>
      <c r="L99" s="171" t="s">
        <v>621</v>
      </c>
      <c r="M99" s="163" t="s">
        <v>23</v>
      </c>
      <c r="N99" s="163" t="s">
        <v>30</v>
      </c>
      <c r="O99" s="87" t="s">
        <v>109</v>
      </c>
      <c r="P99" s="163" t="s">
        <v>115</v>
      </c>
      <c r="Q99" s="87" t="s">
        <v>404</v>
      </c>
      <c r="R99" s="163" t="s">
        <v>212</v>
      </c>
      <c r="S99" s="171" t="s">
        <v>622</v>
      </c>
      <c r="T99" s="171" t="s">
        <v>570</v>
      </c>
      <c r="U99" s="172">
        <v>45444</v>
      </c>
      <c r="V99" s="173">
        <v>45565</v>
      </c>
      <c r="W99" s="166">
        <f>_xlfn.XLOOKUP(CONCATENATE(C_Corrupción[[#This Row],[Momento de ejecución]],C_Corrupción[[#This Row],[Forma de ejecución]]),C_Atributos,C_Peso,"",0)</f>
        <v>0.25</v>
      </c>
      <c r="X99" s="87" t="str">
        <f>IFERROR(_xlfn.XLOOKUP(C_Corrupción[[#This Row],[Momento de ejecución]],C_Momento,C_Efecto,,0),"")</f>
        <v>Impacto</v>
      </c>
      <c r="Y99" s="167">
        <f>IFERROR(IF(C_Corrupción[[#This Row],[Código riesgo]]&lt;&gt;C98,_xlfn.XLOOKUP(C_Corrupción[[#This Row],[Código riesgo]],R_Corrupción[Código riesgo],R_Corrupción[Pi %],,0)*IF(C_Corrupción[[#This Row],[Efecto]]="Probabilidad",1-C_Corrupción[[#This Row],[Peso]],1),IF(C_Corrupción[[#This Row],[Efecto]]="Probabilidad",Y98*(1-C_Corrupción[[#This Row],[Peso]]),Y98)),"")</f>
        <v>0.10079999999999999</v>
      </c>
      <c r="Z99" s="168">
        <f>IFERROR(IF(C_Corrupción[[#This Row],[Código riesgo]]&lt;&gt;C98,_xlfn.XLOOKUP(C_Corrupción[[#This Row],[Código riesgo]],R_Corrupción[Código riesgo],R_Corrupción[Ii %],,0)*IF(C_Corrupción[[#This Row],[Efecto]]="Impacto",1-C_Corrupción[[#This Row],[Peso]],1),IF(C_Corrupción[[#This Row],[Efecto]]="Impacto",Z98*(1-C_Corrupción[[#This Row],[Peso]]),Z98)),"")</f>
        <v>0.75</v>
      </c>
    </row>
    <row r="100" spans="1:26" s="17" customFormat="1" ht="66" x14ac:dyDescent="0.25">
      <c r="A100" s="163">
        <v>95</v>
      </c>
      <c r="B100" s="159" t="str">
        <f>Mapa_RC!$B$21</f>
        <v>Apropiación social del conocimiento y del patrimonio</v>
      </c>
      <c r="C100" s="169" t="str">
        <f>Mapa_RC!C$21</f>
        <v>APR-C3</v>
      </c>
      <c r="D100" s="165" t="s">
        <v>66</v>
      </c>
      <c r="E100" s="165"/>
      <c r="F100" s="165" t="s">
        <v>68</v>
      </c>
      <c r="G100" s="165"/>
      <c r="H100" s="80"/>
      <c r="I100" s="87" t="str">
        <f>IF(C_Corrupción[[#This Row],[Responsable de ejecutar]]&lt;&gt;"",CONCATENATE(C_Corrupción[[#This Row],[Código riesgo]],"-",IF(C_Corrupción[[#This Row],[Código riesgo]]&lt;&gt;C99,1,RIGHT(I99,1)+1)),"")</f>
        <v/>
      </c>
      <c r="J100" s="171"/>
      <c r="K100" s="171"/>
      <c r="L100" s="171"/>
      <c r="M100" s="163"/>
      <c r="N100" s="163"/>
      <c r="O100" s="163"/>
      <c r="P100" s="163"/>
      <c r="Q100" s="163"/>
      <c r="R100" s="163" t="s">
        <v>212</v>
      </c>
      <c r="S100" s="171" t="s">
        <v>544</v>
      </c>
      <c r="T100" s="171" t="s">
        <v>545</v>
      </c>
      <c r="U100" s="172">
        <v>45505</v>
      </c>
      <c r="V100" s="173">
        <v>45596</v>
      </c>
      <c r="W100" s="166" t="str">
        <f>_xlfn.XLOOKUP(CONCATENATE(C_Corrupción[[#This Row],[Momento de ejecución]],C_Corrupción[[#This Row],[Forma de ejecución]]),C_Atributos,C_Peso,"",0)</f>
        <v/>
      </c>
      <c r="X100" s="87" t="str">
        <f>IFERROR(_xlfn.XLOOKUP(C_Corrupción[[#This Row],[Momento de ejecución]],C_Momento,C_Efecto,,0),"")</f>
        <v/>
      </c>
      <c r="Y100" s="167">
        <f>IFERROR(IF(C_Corrupción[[#This Row],[Código riesgo]]&lt;&gt;C99,_xlfn.XLOOKUP(C_Corrupción[[#This Row],[Código riesgo]],R_Corrupción[Código riesgo],R_Corrupción[Pi %],,0)*IF(C_Corrupción[[#This Row],[Efecto]]="Probabilidad",1-C_Corrupción[[#This Row],[Peso]],1),IF(C_Corrupción[[#This Row],[Efecto]]="Probabilidad",Y99*(1-C_Corrupción[[#This Row],[Peso]]),Y99)),"")</f>
        <v>0.10079999999999999</v>
      </c>
      <c r="Z100" s="168">
        <f>IFERROR(IF(C_Corrupción[[#This Row],[Código riesgo]]&lt;&gt;C99,_xlfn.XLOOKUP(C_Corrupción[[#This Row],[Código riesgo]],R_Corrupción[Código riesgo],R_Corrupción[Ii %],,0)*IF(C_Corrupción[[#This Row],[Efecto]]="Impacto",1-C_Corrupción[[#This Row],[Peso]],1),IF(C_Corrupción[[#This Row],[Efecto]]="Impacto",Z99*(1-C_Corrupción[[#This Row],[Peso]]),Z99)),"")</f>
        <v>0.75</v>
      </c>
    </row>
    <row r="101" spans="1:26" s="17" customFormat="1" ht="132" x14ac:dyDescent="0.25">
      <c r="A101" s="163">
        <v>96</v>
      </c>
      <c r="B101" s="159" t="str">
        <f>Mapa_RC!$B$21</f>
        <v>Apropiación social del conocimiento y del patrimonio</v>
      </c>
      <c r="C101" s="169" t="str">
        <f>Mapa_RC!C$21</f>
        <v>APR-C3</v>
      </c>
      <c r="D101" s="170" t="s">
        <v>378</v>
      </c>
      <c r="E101" s="170" t="s">
        <v>378</v>
      </c>
      <c r="F101" s="170" t="s">
        <v>378</v>
      </c>
      <c r="G101" s="164">
        <f>COUNTA(D96:G100)</f>
        <v>12</v>
      </c>
      <c r="H101" s="80"/>
      <c r="I101" s="87" t="str">
        <f>IF(C_Corrupción[[#This Row],[Responsable de ejecutar]]&lt;&gt;"",CONCATENATE(C_Corrupción[[#This Row],[Código riesgo]],"-",IF(C_Corrupción[[#This Row],[Código riesgo]]&lt;&gt;C100,1,RIGHT(I100,1)+1)),"")</f>
        <v/>
      </c>
      <c r="J101" s="171"/>
      <c r="K101" s="171"/>
      <c r="L101" s="171"/>
      <c r="M101" s="163"/>
      <c r="N101" s="163"/>
      <c r="O101" s="163"/>
      <c r="P101" s="163"/>
      <c r="Q101" s="163"/>
      <c r="R101" s="163" t="s">
        <v>212</v>
      </c>
      <c r="S101" s="171" t="s">
        <v>623</v>
      </c>
      <c r="T101" s="171" t="s">
        <v>624</v>
      </c>
      <c r="U101" s="172">
        <v>45446</v>
      </c>
      <c r="V101" s="173">
        <v>45534</v>
      </c>
      <c r="W101" s="166" t="str">
        <f>_xlfn.XLOOKUP(CONCATENATE(C_Corrupción[[#This Row],[Momento de ejecución]],C_Corrupción[[#This Row],[Forma de ejecución]]),C_Atributos,C_Peso,"",0)</f>
        <v/>
      </c>
      <c r="X101" s="87" t="str">
        <f>IFERROR(_xlfn.XLOOKUP(C_Corrupción[[#This Row],[Momento de ejecución]],C_Momento,C_Efecto,,0),"")</f>
        <v/>
      </c>
      <c r="Y101" s="167">
        <f>IFERROR(IF(C_Corrupción[[#This Row],[Código riesgo]]&lt;&gt;C100,_xlfn.XLOOKUP(C_Corrupción[[#This Row],[Código riesgo]],R_Corrupción[Código riesgo],R_Corrupción[Pi %],,0)*IF(C_Corrupción[[#This Row],[Efecto]]="Probabilidad",1-C_Corrupción[[#This Row],[Peso]],1),IF(C_Corrupción[[#This Row],[Efecto]]="Probabilidad",Y100*(1-C_Corrupción[[#This Row],[Peso]]),Y100)),"")</f>
        <v>0.10079999999999999</v>
      </c>
      <c r="Z101" s="168">
        <f>IFERROR(IF(C_Corrupción[[#This Row],[Código riesgo]]&lt;&gt;C100,_xlfn.XLOOKUP(C_Corrupción[[#This Row],[Código riesgo]],R_Corrupción[Código riesgo],R_Corrupción[Ii %],,0)*IF(C_Corrupción[[#This Row],[Efecto]]="Impacto",1-C_Corrupción[[#This Row],[Peso]],1),IF(C_Corrupción[[#This Row],[Efecto]]="Impacto",Z100*(1-C_Corrupción[[#This Row],[Peso]]),Z100)),"")</f>
        <v>0.75</v>
      </c>
    </row>
    <row r="102" spans="1:26" x14ac:dyDescent="0.25">
      <c r="O102" s="87"/>
    </row>
  </sheetData>
  <sheetProtection autoFilter="0"/>
  <protectedRanges>
    <protectedRange algorithmName="SHA-512" hashValue="2cwbXB1gfNhyd5Qi8ruJz6rElyNwycdmu2HsCFMx6fFUmYYmerO60AdODHu+YaertFqS74i3wVGprsFU/7ec5g==" saltValue="aGitTY3u+C7UOW2L9nQYFw==" spinCount="100000" sqref="D5:G5" name="Rango1"/>
  </protectedRanges>
  <dataConsolidate/>
  <mergeCells count="19">
    <mergeCell ref="A3:B3"/>
    <mergeCell ref="A4:B4"/>
    <mergeCell ref="C1:H2"/>
    <mergeCell ref="I1:L2"/>
    <mergeCell ref="M1:Q2"/>
    <mergeCell ref="A1:B1"/>
    <mergeCell ref="A2:B2"/>
    <mergeCell ref="C3:H3"/>
    <mergeCell ref="I4:L4"/>
    <mergeCell ref="C4:G4"/>
    <mergeCell ref="I3:Q3"/>
    <mergeCell ref="R1:V2"/>
    <mergeCell ref="W1:Z2"/>
    <mergeCell ref="M4:N4"/>
    <mergeCell ref="O4:Q4"/>
    <mergeCell ref="R4:V4"/>
    <mergeCell ref="R3:V3"/>
    <mergeCell ref="W3:Z3"/>
    <mergeCell ref="W4:Z4"/>
  </mergeCells>
  <dataValidations xWindow="1529" yWindow="356" count="28">
    <dataValidation type="list" allowBlank="1" showInputMessage="1" showErrorMessage="1" sqref="P13 P69:P77 P97:P101 P32:P67 P15:P17 P6:P11 P20 P22:P29 P79:P85 P87:P95" xr:uid="{855CDDFB-73D0-4F41-B439-6D2CFEB146CE}">
      <formula1>C_Frecuencia</formula1>
    </dataValidation>
    <dataValidation type="list" allowBlank="1" showInputMessage="1" showErrorMessage="1" sqref="N6:N101" xr:uid="{67736836-63AE-4A51-A070-4A976B5214DF}">
      <formula1>C_Forma</formula1>
    </dataValidation>
    <dataValidation allowBlank="1" showInputMessage="1" showErrorMessage="1" error="Recuerde que las acciones se generan bajo la medida de mitigar el riesgo" sqref="S47:U47 T8:U11 V49:V50 T68:U71 T29:U29 U49:U53 S91:U95 T98:U101 T38:U41 S31:U35 S17:U17 S7:S11 S19 S97:S101 S37:S41 S22:U23 T26:U26 S77 S80:U83 S26:S29 S67:S71 S85:U89 T50:T53 S73:U76 S49:S53 S55:U65" xr:uid="{BF6B3B02-2DE0-47A3-B7C2-31385DE6C051}"/>
    <dataValidation allowBlank="1" showInputMessage="1" showErrorMessage="1" promptTitle="Código Riesgo" prompt="Es un valor alfanúmerico que asigna el administrador del SIG para el control de cambios de los riesgos, debe ser único." sqref="C5" xr:uid="{A2DC7D5D-7F3B-4DD9-9311-9BC24C2B889D}"/>
    <dataValidation type="list" allowBlank="1" showInputMessage="1" showErrorMessage="1" sqref="M6:M101" xr:uid="{F1902DFC-09B6-4BBA-8E38-AE32C9B70C80}">
      <formula1>C_Momento</formula1>
    </dataValidation>
    <dataValidation type="list" allowBlank="1" showInputMessage="1" showErrorMessage="1" sqref="R6:R101" xr:uid="{41DA6C13-A5FE-4AD0-8840-243D4117905D}">
      <formula1>Tratamiento</formula1>
    </dataValidation>
    <dataValidation allowBlank="1" showInputMessage="1" showErrorMessage="1" promptTitle="Proceso" prompt="Corresponde al nombre del proceso donde se origina el riesgo, según el modelo de operación vigente" sqref="B5" xr:uid="{DAA230D0-F389-4A3F-A266-A01C5B8D8A7F}"/>
    <dataValidation allowBlank="1" showInputMessage="1" showErrorMessage="1" promptTitle="Consecutivo de controles" prompt="Es el consecutivo que pemite alinear los riesgos con los controles, y tiene restricción de hasta máximo seis controles por cada riesgo" sqref="A5" xr:uid="{B91E708D-6455-48EA-B6F8-8B06C595911B}"/>
    <dataValidation allowBlank="1" showInputMessage="1" showErrorMessage="1" promptTitle="Causas" prompt="Es el conjunto de motivos por los cuales se origina el riesgo, y permiten priorizar acciones para reducir el riesgo a través del plan de reducción" sqref="H5" xr:uid="{4D7E8D02-D591-4B16-AA7F-2FD31EEF1D8A}"/>
    <dataValidation allowBlank="1" showInputMessage="1" showErrorMessage="1" promptTitle="Código control" prompt="Es un valor alfanúmerico que asigna el administrador del SIG para el control de cambios de los controles debe ser único." sqref="I5" xr:uid="{0D49E900-E874-49BB-AF1C-C9A6497F7C8C}"/>
    <dataValidation allowBlank="1" showInputMessage="1" showErrorMessage="1" promptTitle="Responsable de ejecutar" prompt="Se refiere al cargo o rol responsable de realizar el control generando la respectiva evidencia" sqref="J5" xr:uid="{4F41ACED-B9A8-4AB4-85E7-8BAE2849BE53}"/>
    <dataValidation allowBlank="1" showInputMessage="1" showErrorMessage="1" promptTitle="Acción de control" prompt="Corresponde a la descripción de la acción de control" sqref="K5" xr:uid="{E7249F26-1F4B-4B11-A50A-096180C5E35B}"/>
    <dataValidation allowBlank="1" showInputMessage="1" showErrorMessage="1" promptTitle="Complemento" prompt="Es la descripción que permite dar precisión a la acción de control en cuento a la forma de realizarla" sqref="L5" xr:uid="{E9C984A0-B363-4EF7-8784-94FA30BB499C}"/>
    <dataValidation allowBlank="1" showInputMessage="1" showErrorMessage="1" promptTitle="Momento de ejecución" prompt="Permite identificar si el control es de tipo preventivo, detectivo o correctivo, según el momento donde se desarrolla, antes, durante o después de la materialización del evento de riesgo" sqref="M5" xr:uid="{05CC400E-05A3-4FF6-AD78-C644378F68BD}"/>
    <dataValidation allowBlank="1" showInputMessage="1" showErrorMessage="1" promptTitle="Forma de ejecución" prompt="El control se puede ejecutar de dos maneras: automática (por un sistema) o manual (con la intervención humana)" sqref="N5" xr:uid="{D6A36A15-7FEE-4354-8A50-1F17E037CEDF}"/>
    <dataValidation allowBlank="1" showInputMessage="1" showErrorMessage="1" promptTitle="Peso" prompt="Es el valor asignado al control en virtud de su momento y forma de ejecución, según lo definido en la política de administración del riesgo" sqref="W5" xr:uid="{30D30F0E-E0D3-45EA-9964-5FEC92BAD61E}"/>
    <dataValidation allowBlank="1" showInputMessage="1" showErrorMessage="1" promptTitle="Documentación" prompt="En esta columna se consigna el código o nombre del documento donde se documentó el control descrito en las celdas anteriores" sqref="O5" xr:uid="{65D50BA7-94B7-4904-8713-0538AAB65FF6}"/>
    <dataValidation allowBlank="1" showInputMessage="1" showErrorMessage="1" promptTitle="Frecuencia" prompt="Establece si la periodicaida con la cual se ejecuta el control en caso de ser continua o se indica &quot;indeterminada&quot; en caso de que esta sea aleatoria" sqref="P5" xr:uid="{47E8F1BA-70D5-474A-B0CF-D7F51A96C2C3}"/>
    <dataValidation allowBlank="1" showInputMessage="1" showErrorMessage="1" promptTitle="Evidencia" prompt="En esta columna se debe indicar el nombre y serie documental dónde se archiva la evidencia de ejecución del control" sqref="Q5" xr:uid="{B6D2E27E-7922-47C6-952E-5199AF148B38}"/>
    <dataValidation allowBlank="1" showInputMessage="1" showErrorMessage="1" promptTitle="Reducción P %" prompt="Muestra la reducción númerica de la probabilidad" sqref="Y5" xr:uid="{2B3BE657-97E6-44B0-8134-89827545DB32}"/>
    <dataValidation allowBlank="1" showInputMessage="1" showErrorMessage="1" promptTitle="Reducción I %" prompt="Muestra la reducción númerica del impacto" sqref="Z5" xr:uid="{4202C9CB-079C-40B9-8B49-4659E6D700C9}"/>
    <dataValidation allowBlank="1" showInputMessage="1" showErrorMessage="1" promptTitle="Tratamiento" prompt="Despliega un listado con las estrategias disponibles para reducir el riesgo, de acuerdo con lo definido en la política de administración del riesgo" sqref="R5" xr:uid="{F86ED151-DB1B-4066-8D6B-FC01C5BD3E57}"/>
    <dataValidation allowBlank="1" showInputMessage="1" showErrorMessage="1" promptTitle="Actividad fortalecimiento" prompt="Describe del desarrollo de medidas para fortalecer los controles según la estrategia seleccionada y lo establecido en la política de administración del riesgo" sqref="S5" xr:uid="{0F4F05E9-84A7-49CF-B430-716FB6B9B404}"/>
    <dataValidation allowBlank="1" showInputMessage="1" showErrorMessage="1" promptTitle="Responsable estrategia" prompt="Corresponde al cargo de la persona que se encargará de liderar la implementación de la actividad de fortalecimiento formulada" sqref="T5" xr:uid="{D9B57BC2-95F1-4B9E-B02A-0D8B437B7190}"/>
    <dataValidation allowBlank="1" showInputMessage="1" showErrorMessage="1" promptTitle="Fecha de inicio" prompt="Fecha en la cual se empieza el desarrollo de la actividad para fortalecer el control" sqref="U5" xr:uid="{CAF962C8-A959-481C-BF9D-B3B9EAAB2AC5}"/>
    <dataValidation type="date" allowBlank="1" showInputMessage="1" showErrorMessage="1" sqref="V77 W73:Z73" xr:uid="{260C0596-E1E8-48E0-B429-FB806F785842}">
      <formula1>44197</formula1>
      <formula2>47818</formula2>
    </dataValidation>
    <dataValidation allowBlank="1" showInputMessage="1" showErrorMessage="1" promptTitle="Efecto" prompt="Indica el efecto del control: el preventivo o detectivo reduce la porbabilidad; mientras que el correctivo reduce el impacto" sqref="X5:Z5" xr:uid="{2D895FCB-92FA-40E1-9A37-D4901DDC6A97}"/>
    <dataValidation allowBlank="1" showInputMessage="1" showErrorMessage="1" promptTitle="Fecha fin" prompt="Fecha en la cual se finalizará el desarrollo de la actividad para fortalecer el control" sqref="V5:Z5" xr:uid="{8FFD9438-C5A4-4D6A-B118-E21B704BD029}"/>
  </dataValidations>
  <pageMargins left="0.7" right="0.7" top="0.75" bottom="0.75" header="0.3" footer="0.3"/>
  <pageSetup orientation="portrait" r:id="rId1"/>
  <ignoredErrors>
    <ignoredError sqref="C7:C101" calculatedColumn="1"/>
    <ignoredError sqref="F12 F36 F24 F30 F18 F42 F54 F60 F66 F96 F6 F84" listDataValidation="1"/>
  </ignoredErrors>
  <tableParts count="1">
    <tablePart r:id="rId2"/>
  </tableParts>
  <extLst>
    <ext xmlns:x14="http://schemas.microsoft.com/office/spreadsheetml/2009/9/main" uri="{CCE6A557-97BC-4b89-ADB6-D9C93CAAB3DF}">
      <x14:dataValidations xmlns:xm="http://schemas.microsoft.com/office/excel/2006/main" xWindow="1529" yWindow="356" count="20">
        <x14:dataValidation type="list" allowBlank="1" showInputMessage="1" showErrorMessage="1" xr:uid="{F9FCCE23-CAC7-4BE6-A945-8A31B92C36AE}">
          <x14:formula1>
            <xm:f>Condiciones_RC!$F$25</xm:f>
          </x14:formula1>
          <xm:sqref>G10 G100 G94 G88 G16 G76 G70 G64 G58 G52 G46 G40 G34 G28 G22 G82</xm:sqref>
        </x14:dataValidation>
        <x14:dataValidation type="list" allowBlank="1" showInputMessage="1" showErrorMessage="1" xr:uid="{35F72FC8-3F5E-4337-BD3E-36139431C9AB}">
          <x14:formula1>
            <xm:f>Condiciones_RC!$C$21</xm:f>
          </x14:formula1>
          <xm:sqref>D6 D96 D90 D84 D12 D72 D66 D60 D54 D48 D42 D36 D30 D24 D18 D78</xm:sqref>
        </x14:dataValidation>
        <x14:dataValidation type="list" allowBlank="1" showInputMessage="1" showErrorMessage="1" xr:uid="{B1A4D4B1-515B-4481-AEB3-3752A7E9C8EE}">
          <x14:formula1>
            <xm:f>Condiciones_RC!$D$21</xm:f>
          </x14:formula1>
          <xm:sqref>E6 E96 E90 E84 E12 E72 E66 E60 E54 E48 E42 E36 E30 E24 E18 E78</xm:sqref>
        </x14:dataValidation>
        <x14:dataValidation type="list" allowBlank="1" showInputMessage="1" showErrorMessage="1" xr:uid="{BF99ECAE-3248-4D58-A24F-5A82D8B0F7BC}">
          <x14:formula1>
            <xm:f>Condiciones_RC!$E$21</xm:f>
          </x14:formula1>
          <xm:sqref>F6 F96 F90 F84 F12 F72 F66 F60 F54 F48 F42 F36 F30 F24 F18 F78</xm:sqref>
        </x14:dataValidation>
        <x14:dataValidation type="list" allowBlank="1" showInputMessage="1" showErrorMessage="1" xr:uid="{2B5B3E3B-F53F-4680-B0DD-2991BD33EA38}">
          <x14:formula1>
            <xm:f>Condiciones_RC!$F$21</xm:f>
          </x14:formula1>
          <xm:sqref>G6 G96 G90 G84 G12 G72 G66 G60 G54 G48 G42 G36 G30 G24 G18 G78</xm:sqref>
        </x14:dataValidation>
        <x14:dataValidation type="list" allowBlank="1" showInputMessage="1" showErrorMessage="1" xr:uid="{E78E4535-0419-4546-95B8-56AA7F5327BA}">
          <x14:formula1>
            <xm:f>Condiciones_RC!$C$22</xm:f>
          </x14:formula1>
          <xm:sqref>D7 D97 D91 D85 D13 D73 D67 D61 D55 D49 D43 D37 D31 D25 D19 D79</xm:sqref>
        </x14:dataValidation>
        <x14:dataValidation type="list" allowBlank="1" showInputMessage="1" showErrorMessage="1" xr:uid="{B6A79035-8DB6-49DA-AA83-DD58A06C7A68}">
          <x14:formula1>
            <xm:f>Condiciones_RC!$D$22</xm:f>
          </x14:formula1>
          <xm:sqref>E7 E97 E91 E85 E13 E73 E67 E61 E55 E49 E43 E37 E31 E25 E19 E79</xm:sqref>
        </x14:dataValidation>
        <x14:dataValidation type="list" allowBlank="1" showInputMessage="1" showErrorMessage="1" xr:uid="{906A8B9F-BD31-4E0F-B48D-2EE7237E0758}">
          <x14:formula1>
            <xm:f>Condiciones_RC!$E$22</xm:f>
          </x14:formula1>
          <xm:sqref>F7 F97 F91 F85 F13 F73 F67 F61 F55 F49 F43 F37 F31 F25 F19 F79</xm:sqref>
        </x14:dataValidation>
        <x14:dataValidation type="list" allowBlank="1" showInputMessage="1" showErrorMessage="1" xr:uid="{E3C22BA0-924C-4C8F-ABA6-2683C45C3B58}">
          <x14:formula1>
            <xm:f>Condiciones_RC!$F$22</xm:f>
          </x14:formula1>
          <xm:sqref>G7 G97 G91 G85 G13 G73 G67 G61 G55 G49 G43 G37 G31 G25 G19 G79</xm:sqref>
        </x14:dataValidation>
        <x14:dataValidation type="list" allowBlank="1" showInputMessage="1" showErrorMessage="1" xr:uid="{84233470-D1A3-4911-98A3-A6136D79F1CF}">
          <x14:formula1>
            <xm:f>Condiciones_RC!$C$23</xm:f>
          </x14:formula1>
          <xm:sqref>D8 D98 D92 D86 D14 D74 D68 D62 D56 D50 D44 D38 D32 D26 D20 D80</xm:sqref>
        </x14:dataValidation>
        <x14:dataValidation type="list" allowBlank="1" showInputMessage="1" showErrorMessage="1" xr:uid="{DF676748-1555-49A2-A602-924CC8EF3900}">
          <x14:formula1>
            <xm:f>Condiciones_RC!$D$23</xm:f>
          </x14:formula1>
          <xm:sqref>E8 E98 E92 E86 E14 E74 E68 E62 E56 E50 E44 E38 E32 E26 E20 E80</xm:sqref>
        </x14:dataValidation>
        <x14:dataValidation type="list" allowBlank="1" showInputMessage="1" showErrorMessage="1" xr:uid="{8D814A26-EF32-4BD1-B78E-42663508D777}">
          <x14:formula1>
            <xm:f>Condiciones_RC!$E$23</xm:f>
          </x14:formula1>
          <xm:sqref>F8 F98 F92 F86 F14 F74 F68 F62 F56 F50 F44 F38 F32 F26 F20 F80</xm:sqref>
        </x14:dataValidation>
        <x14:dataValidation type="list" allowBlank="1" showInputMessage="1" showErrorMessage="1" xr:uid="{496937B8-9FF6-46D8-9E08-D631EB1A48D5}">
          <x14:formula1>
            <xm:f>Condiciones_RC!$F$23</xm:f>
          </x14:formula1>
          <xm:sqref>G8 G98 G92 G86 G14 G74 G68 G62 G56 G50 G44 G38 G32 G26 G20 G80</xm:sqref>
        </x14:dataValidation>
        <x14:dataValidation type="list" allowBlank="1" showInputMessage="1" showErrorMessage="1" xr:uid="{4E3A65B0-0849-4810-8B7C-3D82C65B574E}">
          <x14:formula1>
            <xm:f>Condiciones_RC!$C$24</xm:f>
          </x14:formula1>
          <xm:sqref>D9 D99 D93 D87 D15 D75 D69 D63 D57 D51 D45 D39 D33 D27 D21 D81</xm:sqref>
        </x14:dataValidation>
        <x14:dataValidation type="list" allowBlank="1" showInputMessage="1" showErrorMessage="1" xr:uid="{DEE1CDA8-1A4A-4D84-AFA9-8C88280F343D}">
          <x14:formula1>
            <xm:f>Condiciones_RC!$D$24</xm:f>
          </x14:formula1>
          <xm:sqref>E9 E99 E93 E87 E15 E75 E69 E63 E57 E51 E45 E39 E33 E27 E21 E81</xm:sqref>
        </x14:dataValidation>
        <x14:dataValidation type="list" allowBlank="1" showInputMessage="1" showErrorMessage="1" xr:uid="{C4AA6ACB-279F-4F80-819C-7EDE1B904738}">
          <x14:formula1>
            <xm:f>Condiciones_RC!$E$24</xm:f>
          </x14:formula1>
          <xm:sqref>F9 F99 F93 F87 F15 F75 F69 F63 F57 F51 F45 F39 F33 F27 F21 F81</xm:sqref>
        </x14:dataValidation>
        <x14:dataValidation type="list" allowBlank="1" showInputMessage="1" showErrorMessage="1" xr:uid="{01CF7D21-D0B2-4A7F-A4DB-0AF79A50A3AA}">
          <x14:formula1>
            <xm:f>Condiciones_RC!$F$24</xm:f>
          </x14:formula1>
          <xm:sqref>G9 G99 G93 G87 G15 G75 G69 G63 G57 G51 G45 G39 G33 G27 G21 G81</xm:sqref>
        </x14:dataValidation>
        <x14:dataValidation type="list" allowBlank="1" showInputMessage="1" showErrorMessage="1" xr:uid="{9F167773-1DE7-4447-9DFB-22B3EB6ADF1F}">
          <x14:formula1>
            <xm:f>Condiciones_RC!$C$25</xm:f>
          </x14:formula1>
          <xm:sqref>D10 D100 D94 D88 D16 D76 D70 D64 D58 D52 D46 D40 D34 D28 D22 D82</xm:sqref>
        </x14:dataValidation>
        <x14:dataValidation type="list" allowBlank="1" showInputMessage="1" showErrorMessage="1" xr:uid="{930FCD38-8528-44A6-9AB8-02EE3B2C8AA1}">
          <x14:formula1>
            <xm:f>Condiciones_RC!$D$25</xm:f>
          </x14:formula1>
          <xm:sqref>E10 E100 E94 E88 E16 E76 E70 E64 E58 E52 E46 E40 E34 E28 E22 E82</xm:sqref>
        </x14:dataValidation>
        <x14:dataValidation type="list" allowBlank="1" showInputMessage="1" showErrorMessage="1" xr:uid="{2E9C0B59-7025-4ED4-9B42-8B987633D6F3}">
          <x14:formula1>
            <xm:f>Condiciones_RC!$E$25</xm:f>
          </x14:formula1>
          <xm:sqref>F10 F100 F94 F88 F16 F76 F70 F64 F58 F52 F46 F40 F34 F28 F22 F82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83861-2986-411D-90A6-DD920A6483EC}">
  <sheetPr>
    <tabColor rgb="FF7030A0"/>
  </sheetPr>
  <dimension ref="A1:AE20"/>
  <sheetViews>
    <sheetView zoomScale="70" zoomScaleNormal="70" zoomScaleSheetLayoutView="70" workbookViewId="0"/>
  </sheetViews>
  <sheetFormatPr baseColWidth="10" defaultColWidth="11.42578125" defaultRowHeight="16.5" x14ac:dyDescent="0.25"/>
  <cols>
    <col min="1" max="1" width="4" style="27" customWidth="1"/>
    <col min="2" max="2" width="9.85546875" style="27" customWidth="1"/>
    <col min="3" max="3" width="16.85546875" style="27" customWidth="1"/>
    <col min="4" max="4" width="16.140625" style="27" customWidth="1"/>
    <col min="5" max="5" width="18.42578125" style="27" customWidth="1"/>
    <col min="6" max="6" width="16.140625" style="27" customWidth="1"/>
    <col min="7" max="7" width="29.7109375" style="27" customWidth="1"/>
    <col min="8" max="8" width="17.28515625" style="27" customWidth="1"/>
    <col min="9" max="9" width="23.42578125" style="27" customWidth="1"/>
    <col min="10" max="10" width="28" style="27" customWidth="1"/>
    <col min="11" max="11" width="41.85546875" style="27" customWidth="1"/>
    <col min="12" max="12" width="14.140625" style="27" customWidth="1"/>
    <col min="13" max="13" width="13.42578125" style="27" customWidth="1"/>
    <col min="14" max="14" width="8.85546875" style="27" customWidth="1"/>
    <col min="15" max="16" width="5.28515625" style="27" customWidth="1"/>
    <col min="17" max="17" width="13.42578125" style="27" customWidth="1"/>
    <col min="18" max="18" width="11.5703125" style="27" customWidth="1"/>
    <col min="19" max="19" width="13.42578125" style="27" customWidth="1"/>
    <col min="20" max="20" width="12.5703125" style="27" customWidth="1"/>
    <col min="21" max="21" width="29.85546875" style="27" customWidth="1"/>
    <col min="22" max="22" width="24.85546875" style="27" customWidth="1"/>
    <col min="23" max="23" width="14.85546875" style="27" customWidth="1"/>
    <col min="24" max="24" width="12.7109375" style="27" customWidth="1"/>
    <col min="25" max="25" width="12.42578125" style="27" customWidth="1"/>
    <col min="26" max="26" width="11.85546875" style="27" customWidth="1"/>
    <col min="27" max="27" width="13.28515625" style="27" customWidth="1"/>
    <col min="28" max="28" width="14.42578125" style="27" customWidth="1"/>
    <col min="29" max="29" width="15.140625" style="27" customWidth="1"/>
    <col min="30" max="30" width="11.42578125" style="27"/>
    <col min="31" max="31" width="12.28515625" style="27" customWidth="1"/>
    <col min="32" max="32" width="3.85546875" style="27" customWidth="1"/>
    <col min="33" max="16384" width="11.42578125" style="27"/>
  </cols>
  <sheetData>
    <row r="1" spans="1:31" ht="87.75" customHeight="1" x14ac:dyDescent="0.25">
      <c r="B1" s="229"/>
      <c r="C1" s="230"/>
      <c r="D1" s="225" t="s">
        <v>635</v>
      </c>
      <c r="E1" s="226"/>
      <c r="F1" s="226"/>
      <c r="G1" s="226"/>
      <c r="H1" s="226"/>
      <c r="I1" s="226"/>
      <c r="J1" s="226"/>
      <c r="K1" s="227"/>
      <c r="L1" s="228" t="s">
        <v>636</v>
      </c>
      <c r="M1" s="228"/>
      <c r="N1" s="228"/>
      <c r="Q1" s="229"/>
      <c r="R1" s="230"/>
      <c r="S1" s="225" t="s">
        <v>635</v>
      </c>
      <c r="T1" s="226"/>
      <c r="U1" s="226"/>
      <c r="V1" s="226"/>
      <c r="W1" s="226"/>
      <c r="X1" s="226"/>
      <c r="Y1" s="226"/>
      <c r="Z1" s="226"/>
      <c r="AA1" s="226"/>
      <c r="AB1" s="227"/>
      <c r="AC1" s="228" t="s">
        <v>636</v>
      </c>
      <c r="AD1" s="228"/>
      <c r="AE1" s="228"/>
    </row>
    <row r="3" spans="1:31" ht="15.6" customHeight="1" x14ac:dyDescent="0.25">
      <c r="B3" s="14"/>
      <c r="C3" s="14"/>
      <c r="D3" s="256" t="s">
        <v>224</v>
      </c>
      <c r="E3" s="256"/>
      <c r="F3" s="256"/>
      <c r="G3" s="256"/>
      <c r="H3" s="256"/>
      <c r="I3" s="256"/>
      <c r="J3" s="256"/>
      <c r="K3" s="256"/>
      <c r="L3" s="256"/>
      <c r="M3" s="256"/>
      <c r="N3" s="256"/>
      <c r="Q3" s="222" t="s">
        <v>225</v>
      </c>
      <c r="R3" s="223"/>
      <c r="S3" s="223"/>
      <c r="T3" s="223"/>
      <c r="U3" s="223"/>
      <c r="V3" s="224"/>
      <c r="W3" s="257" t="s">
        <v>226</v>
      </c>
      <c r="X3" s="258"/>
      <c r="Y3" s="253" t="s">
        <v>227</v>
      </c>
      <c r="Z3" s="254"/>
      <c r="AA3" s="254"/>
      <c r="AB3" s="254"/>
      <c r="AC3" s="254"/>
      <c r="AD3" s="255"/>
    </row>
    <row r="4" spans="1:31" ht="15.6" customHeight="1" x14ac:dyDescent="0.25">
      <c r="B4" s="14"/>
      <c r="C4" s="14"/>
      <c r="D4" s="256" t="s">
        <v>229</v>
      </c>
      <c r="E4" s="256"/>
      <c r="F4" s="256"/>
      <c r="G4" s="256"/>
      <c r="H4" s="256"/>
      <c r="I4" s="256"/>
      <c r="J4" s="256"/>
      <c r="K4" s="256"/>
      <c r="L4" s="256" t="s">
        <v>230</v>
      </c>
      <c r="M4" s="256"/>
      <c r="N4" s="256"/>
      <c r="Q4" s="222" t="s">
        <v>231</v>
      </c>
      <c r="R4" s="224"/>
      <c r="S4" s="222" t="s">
        <v>232</v>
      </c>
      <c r="T4" s="224"/>
      <c r="U4" s="222" t="s">
        <v>233</v>
      </c>
      <c r="V4" s="224"/>
      <c r="W4" s="257" t="s">
        <v>637</v>
      </c>
      <c r="X4" s="258"/>
      <c r="Y4" s="253" t="s">
        <v>235</v>
      </c>
      <c r="Z4" s="254"/>
      <c r="AA4" s="254"/>
      <c r="AB4" s="254"/>
      <c r="AC4" s="254"/>
      <c r="AD4" s="255"/>
    </row>
    <row r="5" spans="1:31" ht="35.25" customHeight="1" x14ac:dyDescent="0.25">
      <c r="B5" s="124" t="s">
        <v>236</v>
      </c>
      <c r="C5" s="125" t="s">
        <v>237</v>
      </c>
      <c r="D5" s="126" t="s">
        <v>238</v>
      </c>
      <c r="E5" s="76" t="s">
        <v>239</v>
      </c>
      <c r="F5" s="76" t="s">
        <v>240</v>
      </c>
      <c r="G5" s="126" t="s">
        <v>241</v>
      </c>
      <c r="H5" s="126" t="s">
        <v>242</v>
      </c>
      <c r="I5" s="126" t="s">
        <v>243</v>
      </c>
      <c r="J5" s="126" t="s">
        <v>244</v>
      </c>
      <c r="K5" s="74" t="s">
        <v>12</v>
      </c>
      <c r="L5" s="126" t="s">
        <v>110</v>
      </c>
      <c r="M5" s="126" t="s">
        <v>246</v>
      </c>
      <c r="N5" s="124" t="s">
        <v>25</v>
      </c>
      <c r="Q5" s="124" t="s">
        <v>247</v>
      </c>
      <c r="R5" s="124" t="s">
        <v>248</v>
      </c>
      <c r="S5" s="124" t="s">
        <v>249</v>
      </c>
      <c r="T5" s="124" t="s">
        <v>250</v>
      </c>
      <c r="U5" s="124" t="s">
        <v>251</v>
      </c>
      <c r="V5" s="124" t="s">
        <v>252</v>
      </c>
      <c r="W5" s="124" t="s">
        <v>638</v>
      </c>
      <c r="X5" s="124" t="s">
        <v>639</v>
      </c>
      <c r="Y5" s="124" t="s">
        <v>255</v>
      </c>
      <c r="Z5" s="124" t="s">
        <v>256</v>
      </c>
      <c r="AA5" s="124" t="s">
        <v>257</v>
      </c>
      <c r="AB5" s="124" t="s">
        <v>258</v>
      </c>
      <c r="AC5" s="124" t="s">
        <v>259</v>
      </c>
      <c r="AD5" s="124" t="s">
        <v>260</v>
      </c>
    </row>
    <row r="6" spans="1:31" ht="103.5" customHeight="1" x14ac:dyDescent="0.25">
      <c r="B6" s="139">
        <f>_xlfn.XLOOKUP(D6,R_Corrupción[Código riesgo],R_Corrupción[ID_R],"",0)</f>
        <v>72</v>
      </c>
      <c r="C6" s="139" t="str">
        <f>_xlfn.XLOOKUP(D6,R_Corrupción[Código riesgo],R_Corrupción[Proceso],"",0)</f>
        <v>Gestión de bienes y servicios</v>
      </c>
      <c r="D6" s="140" t="s">
        <v>320</v>
      </c>
      <c r="E6" s="139" t="str">
        <f>_xlfn.XLOOKUP(D6,R_Corrupción[Código riesgo],R_Corrupción[Factor riesgo],"",0)</f>
        <v>F_Talento_Humano</v>
      </c>
      <c r="F6" s="139" t="str">
        <f>_xlfn.XLOOKUP(D6,R_Corrupción[Código riesgo],R_Corrupción[Descriptor factor],"",0)</f>
        <v>Comportamientos no éticos de los empleados</v>
      </c>
      <c r="G6" s="139" t="str">
        <f>_xlfn.XLOOKUP(D6,R_Corrupción[Código riesgo],R_Corrupción[Acción u omisión],"",0)</f>
        <v>Posibilidad de sustraer los insumos, productos y bienes almacenados en la bodegas institucionales</v>
      </c>
      <c r="H6" s="139" t="str">
        <f>_xlfn.XLOOKUP(D6,R_Corrupción[Código riesgo],R_Corrupción[Beneficio privado],"",0)</f>
        <v>afectando la capacidad para cumplir los objetivos de la entidad</v>
      </c>
      <c r="I6" s="139" t="str">
        <f>_xlfn.XLOOKUP(D6,R_Corrupción[Código riesgo],R_Corrupción[Uso del poder],"",0)</f>
        <v>a nombre propio o de un tercero</v>
      </c>
      <c r="J6" s="139" t="str">
        <f>_xlfn.XLOOKUP(D6,R_Corrupción[Código riesgo],R_Corrupción[Desviar gestión pública],"",0)</f>
        <v>con el fin de desviar el uso de los recursos para otros propósitos</v>
      </c>
      <c r="K6" s="139" t="str">
        <f>_xlfn.XLOOKUP(D6,R_Corrupción[Código riesgo],R_Corrupción[Descripción del riesgo],"",0)</f>
        <v>Posibilidad de sustraer los insumos, productos y bienes almacenados en la bodegas institucionales afectando la capacidad para cumplir los objetivos de la entidad a nombre propio o de un tercero con el fin de desviar el uso de los recursos para otros propósitos</v>
      </c>
      <c r="L6" s="139">
        <f>_xlfn.XLOOKUP(D6,R_Corrupción[Código riesgo],R_Corrupción[Frecuencia],"",0)</f>
        <v>10000</v>
      </c>
      <c r="M6" s="141" t="str">
        <f>_xlfn.XLOOKUP(D6,R_Corrupción[Código riesgo],R_Corrupción[Unidad de medida],"",0)</f>
        <v xml:space="preserve">Insumos, productos y bienes </v>
      </c>
      <c r="N6" s="139">
        <f>_xlfn.XLOOKUP(D6,R_Corrupción[Código riesgo],R_Corrupción[Impacto],"",0)</f>
        <v>9</v>
      </c>
      <c r="Q6" s="139" t="str">
        <f>_xlfn.XLOOKUP(D6,R_Corrupción[Código riesgo],R_Corrupción[Probabilidad inherente],"",0)</f>
        <v>Muy Alta</v>
      </c>
      <c r="R6" s="142">
        <f>_xlfn.XLOOKUP(D6,R_Corrupción[Código riesgo],R_Corrupción[Pi %],"",0)</f>
        <v>1</v>
      </c>
      <c r="S6" s="139" t="str">
        <f>_xlfn.XLOOKUP(D6,R_Corrupción[Código riesgo],R_Corrupción[Impacto inherente],"",0)</f>
        <v>Mayor</v>
      </c>
      <c r="T6" s="142">
        <f>_xlfn.XLOOKUP(D6,R_Corrupción[Código riesgo],R_Corrupción[Ii %],"",0)</f>
        <v>0.8</v>
      </c>
      <c r="U6" s="139" t="str">
        <f>_xlfn.XLOOKUP(D6,R_Corrupción[Código riesgo],R_Corrupción[Severidad inherente],"",0)</f>
        <v>Alto</v>
      </c>
      <c r="V6" s="139">
        <f>_xlfn.XLOOKUP(D6,R_Corrupción[Código riesgo],R_Corrupción[Posición severidad i],"",0)</f>
        <v>20</v>
      </c>
      <c r="W6" s="142">
        <f>_xlfn.XLOOKUP(D6,R_Corrupción[Código riesgo],R_Corrupción[Eficiencia teórica probabilidad],"",0)</f>
        <v>0.58000000000000007</v>
      </c>
      <c r="X6" s="142">
        <f>_xlfn.XLOOKUP(D6,R_Corrupción[Código riesgo],R_Corrupción[Eficiencia teórica impacto],"",0)</f>
        <v>0.19999999999999996</v>
      </c>
      <c r="Y6" s="139" t="str">
        <f>_xlfn.XLOOKUP(D6,R_Corrupción[Código riesgo],R_Corrupción[Probabilidad residual],"",0)</f>
        <v>Media</v>
      </c>
      <c r="Z6" s="142">
        <f>_xlfn.XLOOKUP(D6,R_Corrupción[Código riesgo],R_Corrupción[Pr %],"",0)</f>
        <v>0.42</v>
      </c>
      <c r="AA6" s="139" t="str">
        <f>_xlfn.XLOOKUP(D6,R_Corrupción[Código riesgo],R_Corrupción[Impacto residual],"",0)</f>
        <v>Mayor</v>
      </c>
      <c r="AB6" s="142">
        <f>_xlfn.XLOOKUP(D6,R_Corrupción[Código riesgo],R_Corrupción[Ir %],"",0)</f>
        <v>0.60000000000000009</v>
      </c>
      <c r="AC6" s="139" t="str">
        <f>_xlfn.XLOOKUP(D6,R_Corrupción[Código riesgo],R_Corrupción[Severidad residual],"",0)</f>
        <v>Alto</v>
      </c>
      <c r="AD6" s="139">
        <f>_xlfn.XLOOKUP(D6,R_Corrupción[Código riesgo],R_Corrupción[Posición severidad r],"",0)</f>
        <v>17</v>
      </c>
    </row>
    <row r="8" spans="1:31" ht="41.25" customHeight="1" x14ac:dyDescent="0.25">
      <c r="A8" s="15"/>
      <c r="B8" s="15"/>
      <c r="C8" s="240" t="s">
        <v>224</v>
      </c>
      <c r="D8" s="241"/>
      <c r="E8" s="241"/>
      <c r="F8" s="241"/>
      <c r="G8" s="242"/>
      <c r="H8" s="234" t="s">
        <v>226</v>
      </c>
      <c r="I8" s="235"/>
      <c r="J8" s="235"/>
      <c r="K8" s="235"/>
      <c r="L8" s="235"/>
      <c r="M8" s="235"/>
      <c r="Q8" s="239" t="s">
        <v>226</v>
      </c>
      <c r="R8" s="239"/>
      <c r="S8" s="239"/>
      <c r="T8" s="236" t="s">
        <v>343</v>
      </c>
      <c r="U8" s="236"/>
      <c r="V8" s="236"/>
      <c r="W8" s="236"/>
      <c r="X8" s="236"/>
      <c r="Y8" s="231" t="s">
        <v>227</v>
      </c>
      <c r="Z8" s="232"/>
      <c r="AA8" s="232"/>
      <c r="AB8" s="233"/>
    </row>
    <row r="9" spans="1:31" ht="34.5" customHeight="1" x14ac:dyDescent="0.25">
      <c r="A9" s="15"/>
      <c r="B9" s="15"/>
      <c r="C9" s="243" t="s">
        <v>344</v>
      </c>
      <c r="D9" s="244"/>
      <c r="E9" s="244"/>
      <c r="F9" s="245"/>
      <c r="G9" s="143" t="s">
        <v>640</v>
      </c>
      <c r="H9" s="246" t="s">
        <v>346</v>
      </c>
      <c r="I9" s="247"/>
      <c r="J9" s="247"/>
      <c r="K9" s="248"/>
      <c r="L9" s="246" t="s">
        <v>347</v>
      </c>
      <c r="M9" s="248"/>
      <c r="Q9" s="237" t="s">
        <v>348</v>
      </c>
      <c r="R9" s="237"/>
      <c r="S9" s="237"/>
      <c r="T9" s="238" t="s">
        <v>349</v>
      </c>
      <c r="U9" s="238"/>
      <c r="V9" s="238"/>
      <c r="W9" s="238"/>
      <c r="X9" s="238"/>
      <c r="Y9" s="222" t="s">
        <v>350</v>
      </c>
      <c r="Z9" s="223"/>
      <c r="AA9" s="223"/>
      <c r="AB9" s="224"/>
    </row>
    <row r="10" spans="1:31" ht="45" customHeight="1" x14ac:dyDescent="0.25">
      <c r="B10" s="124" t="s">
        <v>351</v>
      </c>
      <c r="C10" s="75" t="s">
        <v>45</v>
      </c>
      <c r="D10" s="75" t="s">
        <v>46</v>
      </c>
      <c r="E10" s="75" t="s">
        <v>47</v>
      </c>
      <c r="F10" s="75" t="s">
        <v>353</v>
      </c>
      <c r="G10" s="126" t="s">
        <v>354</v>
      </c>
      <c r="H10" s="74" t="s">
        <v>355</v>
      </c>
      <c r="I10" s="126" t="s">
        <v>356</v>
      </c>
      <c r="J10" s="126" t="s">
        <v>641</v>
      </c>
      <c r="K10" s="126" t="s">
        <v>358</v>
      </c>
      <c r="L10" s="75" t="s">
        <v>16</v>
      </c>
      <c r="M10" s="75" t="s">
        <v>27</v>
      </c>
      <c r="Q10" s="126" t="s">
        <v>104</v>
      </c>
      <c r="R10" s="125" t="s">
        <v>110</v>
      </c>
      <c r="S10" s="126" t="s">
        <v>116</v>
      </c>
      <c r="T10" s="127" t="s">
        <v>200</v>
      </c>
      <c r="U10" s="126" t="s">
        <v>642</v>
      </c>
      <c r="V10" s="126" t="s">
        <v>643</v>
      </c>
      <c r="W10" s="126" t="s">
        <v>361</v>
      </c>
      <c r="X10" s="126" t="s">
        <v>362</v>
      </c>
      <c r="Y10" s="124" t="s">
        <v>13</v>
      </c>
      <c r="Z10" s="124" t="s">
        <v>14</v>
      </c>
      <c r="AA10" s="124" t="s">
        <v>363</v>
      </c>
      <c r="AB10" s="124" t="s">
        <v>364</v>
      </c>
    </row>
    <row r="11" spans="1:31" ht="102.75" customHeight="1" x14ac:dyDescent="0.25">
      <c r="B11" s="144">
        <f>_xlfn.XLOOKUP(C6,C_Corrupción[Proceso],C_Corrupción[ID_C],"",0)</f>
        <v>67</v>
      </c>
      <c r="C11" s="139" t="str">
        <f>_xlfn.XLOOKUP(B11,C_Corrupción[ID_C],C_Corrupción[Incumplimiento],"",0)</f>
        <v>Grupo de trabajo o proceso</v>
      </c>
      <c r="D11" s="139" t="str">
        <f>_xlfn.XLOOKUP(B11,C_Corrupción[ID_C],C_Corrupción[Daños o pérdidas],"",0)</f>
        <v>Recursos económicos</v>
      </c>
      <c r="E11" s="139" t="str">
        <f>_xlfn.XLOOKUP(B11,C_Corrupción[ID_C],C_Corrupción[Intervenciones o sanciones],"",0)</f>
        <v>Intervención organismo de control</v>
      </c>
      <c r="F11" s="139" t="str">
        <f>_xlfn.XLOOKUP(B11,C_Corrupción[ID_C],C_Corrupción[Reputación],"",0)</f>
        <v>Institucional</v>
      </c>
      <c r="G11" s="139" t="str">
        <f>_xlfn.XLOOKUP(B11,C_Corrupción[ID_C],C_Corrupción[Causas],"",0)</f>
        <v>Acceso no autorizado o privilegiado</v>
      </c>
      <c r="H11" s="139" t="str">
        <f>_xlfn.XLOOKUP(B11,C_Corrupción[ID_C],C_Corrupción[Código control],"",0)</f>
        <v>ADM-C1-1</v>
      </c>
      <c r="I11" s="145" t="str">
        <f>_xlfn.XLOOKUP(B11,C_Corrupción[ID_C],C_Corrupción[Responsable de ejecutar],"",0)</f>
        <v>Coordinador del Grupo de Recursos Físicos</v>
      </c>
      <c r="J11" s="139" t="str">
        <f>_xlfn.XLOOKUP(B11,C_Corrupción[ID_C],C_Corrupción[Acción de control],"",0)</f>
        <v xml:space="preserve">Validar el acceso al personal autorizado </v>
      </c>
      <c r="K11" s="139" t="str">
        <f>_xlfn.XLOOKUP(B11,C_Corrupción[ID_C],C_Corrupción[Complemento],"",0)</f>
        <v>a través de la asignación de llaves de las bodegas de insumos, productos y bienes por medio de correo electrónico remitido al Grupo de Recursos Físicos, especificando los cargos y funcionarios responsables de la custodia de las llaves.</v>
      </c>
      <c r="L11" s="139" t="str">
        <f>_xlfn.XLOOKUP(B11,C_Corrupción[ID_C],C_Corrupción[Momento de ejecución],"",0)</f>
        <v>Preventivo</v>
      </c>
      <c r="M11" s="139" t="str">
        <f>_xlfn.XLOOKUP(B11,C_Corrupción[ID_C],C_Corrupción[Forma de ejecución],"",0)</f>
        <v>Manual</v>
      </c>
      <c r="Q11" s="144" t="str">
        <f>_xlfn.XLOOKUP(B11,C_Corrupción[ID_C],C_Corrupción[Documentación],"",0)</f>
        <v>ADM-P-1 y ADM-P-2 se identifican las responsabilidades y los cargos de los funcionarios que ingresan a las bodegas</v>
      </c>
      <c r="R11" s="146" t="str">
        <f>_xlfn.XLOOKUP(B11,C_Corrupción[ID_C],C_Corrupción[Frecuencia],"",0)</f>
        <v>Indefinida</v>
      </c>
      <c r="S11" s="144" t="str">
        <f>_xlfn.XLOOKUP(B11,C_Corrupción[ID_C],C_Corrupción[Evidencia],"",0)</f>
        <v>Correo electrónico institucional con información de designación</v>
      </c>
      <c r="T11" s="144" t="str">
        <f>_xlfn.XLOOKUP(B11,C_Corrupción[ID_C],C_Corrupción[Tratamiento],"",0)</f>
        <v>Reducir (mitigar)</v>
      </c>
      <c r="U11" s="144" t="str">
        <f>_xlfn.XLOOKUP(B11,C_Corrupción[ID_C],C_Corrupción[Actividad fortalecimiento],"",0)</f>
        <v xml:space="preserve">Realizar toma física comparativa del inventario de la bodega de materias primas y repuestos, e inventario de la Librería Yerbabuena, frente al reporte evidenciado en el aplicativo Web Safi, concluyendo en un informe en donde se detallarán los hallazgos y el camino a seguir para subsanar </v>
      </c>
      <c r="V11" s="147" t="str">
        <f>_xlfn.XLOOKUP(B11,C_Corrupción[ID_C],C_Corrupción[Responsable estrategia],"",0)</f>
        <v>Auxiliar administrativo con rol de almacenista del Grupo de Sello Editorial con apoyo del técnico del Grupo de Recursos físicos</v>
      </c>
      <c r="W11" s="148">
        <f>_xlfn.XLOOKUP(B11,C_Corrupción[ID_C],C_Corrupción[Fecha inicio],"",0)</f>
        <v>45506</v>
      </c>
      <c r="X11" s="148">
        <f>_xlfn.XLOOKUP(B11,C_Corrupción[ID_C],C_Corrupción[Fecha fin],"",0)</f>
        <v>45625</v>
      </c>
      <c r="Y11" s="149">
        <f>_xlfn.XLOOKUP(B11,C_Corrupción[ID_C],C_Corrupción[Peso],"",0)</f>
        <v>0.4</v>
      </c>
      <c r="Z11" s="150" t="str">
        <f>_xlfn.XLOOKUP(B11,C_Corrupción[ID_C],C_Corrupción[Efecto],"",0)</f>
        <v>Probabilidad</v>
      </c>
      <c r="AA11" s="142">
        <f>_xlfn.XLOOKUP(B11,C_Corrupción[ID_C],C_Corrupción[Cambio P %],"",0)</f>
        <v>0.6</v>
      </c>
      <c r="AB11" s="142">
        <f>_xlfn.XLOOKUP(B11,C_Corrupción[ID_C],C_Corrupción[Cambio I %],"",0)</f>
        <v>0.8</v>
      </c>
    </row>
    <row r="12" spans="1:31" ht="105" customHeight="1" x14ac:dyDescent="0.25">
      <c r="B12" s="144">
        <f>B11+1</f>
        <v>68</v>
      </c>
      <c r="C12" s="139" t="str">
        <f>_xlfn.XLOOKUP(B12,C_Corrupción[ID_C],C_Corrupción[Incumplimiento],"",0)</f>
        <v>Metas u objetivos</v>
      </c>
      <c r="D12" s="139">
        <f>_xlfn.XLOOKUP(B12,C_Corrupción[ID_C],C_Corrupción[Daños o pérdidas],"",0)</f>
        <v>0</v>
      </c>
      <c r="E12" s="139" t="str">
        <f>_xlfn.XLOOKUP(B12,C_Corrupción[ID_C],C_Corrupción[Intervenciones o sanciones],"",0)</f>
        <v>Sanciones</v>
      </c>
      <c r="F12" s="139">
        <f>_xlfn.XLOOKUP(B12,C_Corrupción[ID_C],C_Corrupción[Reputación],"",0)</f>
        <v>0</v>
      </c>
      <c r="G12" s="139" t="str">
        <f>_xlfn.XLOOKUP(B12,C_Corrupción[ID_C],C_Corrupción[Causas],"",0)</f>
        <v>Falta de controles internos adecuados</v>
      </c>
      <c r="H12" s="139" t="str">
        <f>_xlfn.XLOOKUP(B12,C_Corrupción[ID_C],C_Corrupción[Código control],"",0)</f>
        <v>ADM-C1-2</v>
      </c>
      <c r="I12" s="145" t="str">
        <f>_xlfn.XLOOKUP(B12,C_Corrupción[ID_C],C_Corrupción[Responsable de ejecutar],"",0)</f>
        <v>Auxiliares del Grupo de Recursos Físicos</v>
      </c>
      <c r="J12" s="139" t="str">
        <f>_xlfn.XLOOKUP(B12,C_Corrupción[ID_C],C_Corrupción[Acción de control],"",0)</f>
        <v>Validar que los insumos, productos y bienes cuenten con autorización de salida</v>
      </c>
      <c r="K12" s="139" t="str">
        <f>_xlfn.XLOOKUP(B12,C_Corrupción[ID_C],C_Corrupción[Complemento],"",0)</f>
        <v>a través de la revisión de los comprobantes de egreso en el Sistema de información de inventarios.</v>
      </c>
      <c r="L12" s="139" t="str">
        <f>_xlfn.XLOOKUP(B12,C_Corrupción[ID_C],C_Corrupción[Momento de ejecución],"",0)</f>
        <v>Detectivo</v>
      </c>
      <c r="M12" s="139" t="str">
        <f>_xlfn.XLOOKUP(B12,C_Corrupción[ID_C],C_Corrupción[Forma de ejecución],"",0)</f>
        <v>Manual</v>
      </c>
      <c r="Q12" s="144" t="str">
        <f>_xlfn.XLOOKUP(B12,C_Corrupción[ID_C],C_Corrupción[Documentación],"",0)</f>
        <v>ADM-P-1 y ADM-P-2</v>
      </c>
      <c r="R12" s="146" t="str">
        <f>_xlfn.XLOOKUP(B12,C_Corrupción[ID_C],C_Corrupción[Frecuencia],"",0)</f>
        <v>Indefinida</v>
      </c>
      <c r="S12" s="144" t="str">
        <f>_xlfn.XLOOKUP(B12,C_Corrupción[ID_C],C_Corrupción[Evidencia],"",0)</f>
        <v>305.22 Inventarios</v>
      </c>
      <c r="T12" s="144" t="str">
        <f>_xlfn.XLOOKUP(B12,C_Corrupción[ID_C],C_Corrupción[Tratamiento],"",0)</f>
        <v>Reducir (mitigar)</v>
      </c>
      <c r="U12" s="144" t="str">
        <f>_xlfn.XLOOKUP(B12,C_Corrupción[ID_C],C_Corrupción[Actividad fortalecimiento],"",0)</f>
        <v>Establecer una plantilla de registro para el ingreso y salida del personal a la bodega de publicaciones (sótano), dado que en la actualidad otros grupos de trabajo, además del Grupo de Recursos Físicos, también tienen acceso a esta área del sótano.</v>
      </c>
      <c r="V12" s="147" t="str">
        <f>_xlfn.XLOOKUP(B12,C_Corrupción[ID_C],C_Corrupción[Responsable estrategia],"",0)</f>
        <v>Auxiliar grado 9 del Grupo de Recursos Físicos</v>
      </c>
      <c r="W12" s="148">
        <f>_xlfn.XLOOKUP(B12,C_Corrupción[ID_C],C_Corrupción[Fecha inicio],"",0)</f>
        <v>45537</v>
      </c>
      <c r="X12" s="148">
        <f>_xlfn.XLOOKUP(B12,C_Corrupción[ID_C],C_Corrupción[Fecha fin],"",0)</f>
        <v>45657</v>
      </c>
      <c r="Y12" s="149">
        <f>_xlfn.XLOOKUP(B12,C_Corrupción[ID_C],C_Corrupción[Peso],"",0)</f>
        <v>0.3</v>
      </c>
      <c r="Z12" s="150" t="str">
        <f>_xlfn.XLOOKUP(B12,C_Corrupción[ID_C],C_Corrupción[Efecto],"",0)</f>
        <v>Probabilidad</v>
      </c>
      <c r="AA12" s="142">
        <f>_xlfn.XLOOKUP(B12,C_Corrupción[ID_C],C_Corrupción[Cambio P %],"",0)</f>
        <v>0.42</v>
      </c>
      <c r="AB12" s="142">
        <f>_xlfn.XLOOKUP(B12,C_Corrupción[ID_C],C_Corrupción[Cambio I %],"",0)</f>
        <v>0.8</v>
      </c>
    </row>
    <row r="13" spans="1:31" ht="123" customHeight="1" x14ac:dyDescent="0.25">
      <c r="B13" s="144">
        <f t="shared" ref="B13:B16" si="0">B12+1</f>
        <v>69</v>
      </c>
      <c r="C13" s="139">
        <f>_xlfn.XLOOKUP(B13,C_Corrupción[ID_C],C_Corrupción[Incumplimiento],"",0)</f>
        <v>0</v>
      </c>
      <c r="D13" s="139">
        <f>_xlfn.XLOOKUP(B13,C_Corrupción[ID_C],C_Corrupción[Daños o pérdidas],"",0)</f>
        <v>0</v>
      </c>
      <c r="E13" s="139" t="str">
        <f>_xlfn.XLOOKUP(B13,C_Corrupción[ID_C],C_Corrupción[Intervenciones o sanciones],"",0)</f>
        <v>Procesos disciplinarios</v>
      </c>
      <c r="F13" s="139">
        <f>_xlfn.XLOOKUP(B13,C_Corrupción[ID_C],C_Corrupción[Reputación],"",0)</f>
        <v>0</v>
      </c>
      <c r="G13" s="139" t="str">
        <f>_xlfn.XLOOKUP(B13,C_Corrupción[ID_C],C_Corrupción[Causas],"",0)</f>
        <v>Supervisión insuficiente de las actividades relacionadas con el almacenamiento y manejo de bienes</v>
      </c>
      <c r="H13" s="139" t="str">
        <f>_xlfn.XLOOKUP(B13,C_Corrupción[ID_C],C_Corrupción[Código control],"",0)</f>
        <v>ADM-C1-3</v>
      </c>
      <c r="I13" s="145" t="str">
        <f>_xlfn.XLOOKUP(B13,C_Corrupción[ID_C],C_Corrupción[Responsable de ejecutar],"",0)</f>
        <v>Subdirector administrativo y financiero con apoyo del profesional especializado de Control Interno Disciplinario</v>
      </c>
      <c r="J13" s="139" t="str">
        <f>_xlfn.XLOOKUP(B13,C_Corrupción[ID_C],C_Corrupción[Acción de control],"",0)</f>
        <v>Iniciar la instrucción del proceso disciplinario y en el caso de que el proceso vaya a otra instancia por medio de un pliego de cargos, se remite a la Procuraduría General de la Nación (PGN)</v>
      </c>
      <c r="K13" s="139" t="str">
        <f>_xlfn.XLOOKUP(B13,C_Corrupción[ID_C],C_Corrupción[Complemento],"",0)</f>
        <v>a través de documento oficial institucional.</v>
      </c>
      <c r="L13" s="139" t="str">
        <f>_xlfn.XLOOKUP(B13,C_Corrupción[ID_C],C_Corrupción[Momento de ejecución],"",0)</f>
        <v>Correctivo</v>
      </c>
      <c r="M13" s="139" t="str">
        <f>_xlfn.XLOOKUP(B13,C_Corrupción[ID_C],C_Corrupción[Forma de ejecución],"",0)</f>
        <v>Manual</v>
      </c>
      <c r="Q13" s="144" t="str">
        <f>_xlfn.XLOOKUP(B13,C_Corrupción[ID_C],C_Corrupción[Documentación],"",0)</f>
        <v>DIS-P-1 Etapas de indagación previa e investigación disciplinaria</v>
      </c>
      <c r="R13" s="146" t="str">
        <f>_xlfn.XLOOKUP(B13,C_Corrupción[ID_C],C_Corrupción[Frecuencia],"",0)</f>
        <v>Indefinida</v>
      </c>
      <c r="S13" s="144" t="str">
        <f>_xlfn.XLOOKUP(B13,C_Corrupción[ID_C],C_Corrupción[Evidencia],"",0)</f>
        <v>300.18.10 Procesos disciplinarios</v>
      </c>
      <c r="T13" s="144">
        <f>_xlfn.XLOOKUP(B13,C_Corrupción[ID_C],C_Corrupción[Tratamiento],"",0)</f>
        <v>0</v>
      </c>
      <c r="U13" s="144">
        <f>_xlfn.XLOOKUP(B13,C_Corrupción[ID_C],C_Corrupción[Actividad fortalecimiento],"",0)</f>
        <v>0</v>
      </c>
      <c r="V13" s="147">
        <f>_xlfn.XLOOKUP(B13,C_Corrupción[ID_C],C_Corrupción[Responsable estrategia],"",0)</f>
        <v>0</v>
      </c>
      <c r="W13" s="148">
        <f>_xlfn.XLOOKUP(B13,C_Corrupción[ID_C],C_Corrupción[Fecha inicio],"",0)</f>
        <v>0</v>
      </c>
      <c r="X13" s="148">
        <f>_xlfn.XLOOKUP(B13,C_Corrupción[ID_C],C_Corrupción[Fecha fin],"",0)</f>
        <v>0</v>
      </c>
      <c r="Y13" s="149">
        <f>_xlfn.XLOOKUP(B13,C_Corrupción[ID_C],C_Corrupción[Peso],"",0)</f>
        <v>0.25</v>
      </c>
      <c r="Z13" s="150" t="str">
        <f>_xlfn.XLOOKUP(B13,C_Corrupción[ID_C],C_Corrupción[Efecto],"",0)</f>
        <v>Impacto</v>
      </c>
      <c r="AA13" s="142">
        <f>_xlfn.XLOOKUP(B13,C_Corrupción[ID_C],C_Corrupción[Cambio P %],"",0)</f>
        <v>0.42</v>
      </c>
      <c r="AB13" s="142">
        <f>_xlfn.XLOOKUP(B13,C_Corrupción[ID_C],C_Corrupción[Cambio I %],"",0)</f>
        <v>0.60000000000000009</v>
      </c>
    </row>
    <row r="14" spans="1:31" x14ac:dyDescent="0.25">
      <c r="B14" s="144">
        <f t="shared" si="0"/>
        <v>70</v>
      </c>
      <c r="C14" s="139">
        <f>_xlfn.XLOOKUP(B14,C_Corrupción[ID_C],C_Corrupción[Incumplimiento],"",0)</f>
        <v>0</v>
      </c>
      <c r="D14" s="139">
        <f>_xlfn.XLOOKUP(B14,C_Corrupción[ID_C],C_Corrupción[Daños o pérdidas],"",0)</f>
        <v>0</v>
      </c>
      <c r="E14" s="139" t="str">
        <f>_xlfn.XLOOKUP(B14,C_Corrupción[ID_C],C_Corrupción[Intervenciones o sanciones],"",0)</f>
        <v>Procesos fiscales</v>
      </c>
      <c r="F14" s="139">
        <f>_xlfn.XLOOKUP(B14,C_Corrupción[ID_C],C_Corrupción[Reputación],"",0)</f>
        <v>0</v>
      </c>
      <c r="G14" s="139">
        <f>_xlfn.XLOOKUP(B14,C_Corrupción[ID_C],C_Corrupción[Causas],"",0)</f>
        <v>0</v>
      </c>
      <c r="H14" s="139" t="str">
        <f>_xlfn.XLOOKUP(B14,C_Corrupción[ID_C],C_Corrupción[Código control],"",0)</f>
        <v/>
      </c>
      <c r="I14" s="145">
        <f>_xlfn.XLOOKUP(B14,C_Corrupción[ID_C],C_Corrupción[Responsable de ejecutar],"",0)</f>
        <v>0</v>
      </c>
      <c r="J14" s="139">
        <f>_xlfn.XLOOKUP(B14,C_Corrupción[ID_C],C_Corrupción[Acción de control],"",0)</f>
        <v>0</v>
      </c>
      <c r="K14" s="139">
        <f>_xlfn.XLOOKUP(B14,C_Corrupción[ID_C],C_Corrupción[Complemento],"",0)</f>
        <v>0</v>
      </c>
      <c r="L14" s="139">
        <f>_xlfn.XLOOKUP(B14,C_Corrupción[ID_C],C_Corrupción[Momento de ejecución],"",0)</f>
        <v>0</v>
      </c>
      <c r="M14" s="139">
        <f>_xlfn.XLOOKUP(B14,C_Corrupción[ID_C],C_Corrupción[Forma de ejecución],"",0)</f>
        <v>0</v>
      </c>
      <c r="Q14" s="144">
        <f>_xlfn.XLOOKUP(B14,C_Corrupción[ID_C],C_Corrupción[Documentación],"",0)</f>
        <v>0</v>
      </c>
      <c r="R14" s="146">
        <f>_xlfn.XLOOKUP(B14,C_Corrupción[ID_C],C_Corrupción[Frecuencia],"",0)</f>
        <v>0</v>
      </c>
      <c r="S14" s="144">
        <f>_xlfn.XLOOKUP(B14,C_Corrupción[ID_C],C_Corrupción[Evidencia],"",0)</f>
        <v>0</v>
      </c>
      <c r="T14" s="144">
        <f>_xlfn.XLOOKUP(B14,C_Corrupción[ID_C],C_Corrupción[Tratamiento],"",0)</f>
        <v>0</v>
      </c>
      <c r="U14" s="144">
        <f>_xlfn.XLOOKUP(B14,C_Corrupción[ID_C],C_Corrupción[Actividad fortalecimiento],"",0)</f>
        <v>0</v>
      </c>
      <c r="V14" s="147">
        <f>_xlfn.XLOOKUP(B14,C_Corrupción[ID_C],C_Corrupción[Responsable estrategia],"",0)</f>
        <v>0</v>
      </c>
      <c r="W14" s="148">
        <f>_xlfn.XLOOKUP(B14,C_Corrupción[ID_C],C_Corrupción[Fecha inicio],"",0)</f>
        <v>0</v>
      </c>
      <c r="X14" s="148">
        <f>_xlfn.XLOOKUP(B14,C_Corrupción[ID_C],C_Corrupción[Fecha fin],"",0)</f>
        <v>0</v>
      </c>
      <c r="Y14" s="149" t="str">
        <f>_xlfn.XLOOKUP(B14,C_Corrupción[ID_C],C_Corrupción[Peso],"",0)</f>
        <v/>
      </c>
      <c r="Z14" s="150" t="str">
        <f>_xlfn.XLOOKUP(B14,C_Corrupción[ID_C],C_Corrupción[Efecto],"",0)</f>
        <v/>
      </c>
      <c r="AA14" s="142">
        <f>_xlfn.XLOOKUP(B14,C_Corrupción[ID_C],C_Corrupción[Cambio P %],"",0)</f>
        <v>0.42</v>
      </c>
      <c r="AB14" s="142">
        <f>_xlfn.XLOOKUP(B14,C_Corrupción[ID_C],C_Corrupción[Cambio I %],"",0)</f>
        <v>0.60000000000000009</v>
      </c>
    </row>
    <row r="15" spans="1:31" ht="33" x14ac:dyDescent="0.25">
      <c r="B15" s="144">
        <f t="shared" si="0"/>
        <v>71</v>
      </c>
      <c r="C15" s="139" t="str">
        <f>_xlfn.XLOOKUP(B15,C_Corrupción[ID_C],C_Corrupción[Incumplimiento],"",0)</f>
        <v>Productos o servicios</v>
      </c>
      <c r="D15" s="139">
        <f>_xlfn.XLOOKUP(B15,C_Corrupción[ID_C],C_Corrupción[Daños o pérdidas],"",0)</f>
        <v>0</v>
      </c>
      <c r="E15" s="139">
        <f>_xlfn.XLOOKUP(B15,C_Corrupción[ID_C],C_Corrupción[Intervenciones o sanciones],"",0)</f>
        <v>0</v>
      </c>
      <c r="F15" s="139">
        <f>_xlfn.XLOOKUP(B15,C_Corrupción[ID_C],C_Corrupción[Reputación],"",0)</f>
        <v>0</v>
      </c>
      <c r="G15" s="139">
        <f>_xlfn.XLOOKUP(B15,C_Corrupción[ID_C],C_Corrupción[Causas],"",0)</f>
        <v>0</v>
      </c>
      <c r="H15" s="139" t="str">
        <f>_xlfn.XLOOKUP(B15,C_Corrupción[ID_C],C_Corrupción[Código control],"",0)</f>
        <v/>
      </c>
      <c r="I15" s="145">
        <f>_xlfn.XLOOKUP(B15,C_Corrupción[ID_C],C_Corrupción[Responsable de ejecutar],"",0)</f>
        <v>0</v>
      </c>
      <c r="J15" s="139">
        <f>_xlfn.XLOOKUP(B15,C_Corrupción[ID_C],C_Corrupción[Acción de control],"",0)</f>
        <v>0</v>
      </c>
      <c r="K15" s="139">
        <f>_xlfn.XLOOKUP(B15,C_Corrupción[ID_C],C_Corrupción[Complemento],"",0)</f>
        <v>0</v>
      </c>
      <c r="L15" s="139">
        <f>_xlfn.XLOOKUP(B15,C_Corrupción[ID_C],C_Corrupción[Momento de ejecución],"",0)</f>
        <v>0</v>
      </c>
      <c r="M15" s="139">
        <f>_xlfn.XLOOKUP(B15,C_Corrupción[ID_C],C_Corrupción[Forma de ejecución],"",0)</f>
        <v>0</v>
      </c>
      <c r="Q15" s="144">
        <f>_xlfn.XLOOKUP(B15,C_Corrupción[ID_C],C_Corrupción[Documentación],"",0)</f>
        <v>0</v>
      </c>
      <c r="R15" s="146">
        <f>_xlfn.XLOOKUP(B15,C_Corrupción[ID_C],C_Corrupción[Frecuencia],"",0)</f>
        <v>0</v>
      </c>
      <c r="S15" s="144">
        <f>_xlfn.XLOOKUP(B15,C_Corrupción[ID_C],C_Corrupción[Evidencia],"",0)</f>
        <v>0</v>
      </c>
      <c r="T15" s="144">
        <f>_xlfn.XLOOKUP(B15,C_Corrupción[ID_C],C_Corrupción[Tratamiento],"",0)</f>
        <v>0</v>
      </c>
      <c r="U15" s="144">
        <f>_xlfn.XLOOKUP(B15,C_Corrupción[ID_C],C_Corrupción[Actividad fortalecimiento],"",0)</f>
        <v>0</v>
      </c>
      <c r="V15" s="147">
        <f>_xlfn.XLOOKUP(B15,C_Corrupción[ID_C],C_Corrupción[Responsable estrategia],"",0)</f>
        <v>0</v>
      </c>
      <c r="W15" s="148">
        <f>_xlfn.XLOOKUP(B15,C_Corrupción[ID_C],C_Corrupción[Fecha inicio],"",0)</f>
        <v>0</v>
      </c>
      <c r="X15" s="148">
        <f>_xlfn.XLOOKUP(B15,C_Corrupción[ID_C],C_Corrupción[Fecha fin],"",0)</f>
        <v>0</v>
      </c>
      <c r="Y15" s="149" t="str">
        <f>_xlfn.XLOOKUP(B15,C_Corrupción[ID_C],C_Corrupción[Peso],"",0)</f>
        <v/>
      </c>
      <c r="Z15" s="150" t="str">
        <f>_xlfn.XLOOKUP(B15,C_Corrupción[ID_C],C_Corrupción[Efecto],"",0)</f>
        <v/>
      </c>
      <c r="AA15" s="142">
        <f>_xlfn.XLOOKUP(B15,C_Corrupción[ID_C],C_Corrupción[Cambio P %],"",0)</f>
        <v>0.42</v>
      </c>
      <c r="AB15" s="142">
        <f>_xlfn.XLOOKUP(B15,C_Corrupción[ID_C],C_Corrupción[Cambio I %],"",0)</f>
        <v>0.60000000000000009</v>
      </c>
    </row>
    <row r="16" spans="1:31" x14ac:dyDescent="0.25">
      <c r="B16" s="144">
        <f t="shared" si="0"/>
        <v>72</v>
      </c>
      <c r="C16" s="139" t="str">
        <f>_xlfn.XLOOKUP(B16,C_Corrupción[ID_C],C_Corrupción[Incumplimiento],"",0)</f>
        <v>N/A</v>
      </c>
      <c r="D16" s="139" t="str">
        <f>_xlfn.XLOOKUP(B16,C_Corrupción[ID_C],C_Corrupción[Daños o pérdidas],"",0)</f>
        <v>N/A</v>
      </c>
      <c r="E16" s="139" t="str">
        <f>_xlfn.XLOOKUP(B16,C_Corrupción[ID_C],C_Corrupción[Intervenciones o sanciones],"",0)</f>
        <v>N/A</v>
      </c>
      <c r="F16" s="139">
        <f>_xlfn.XLOOKUP(B16,C_Corrupción[ID_C],C_Corrupción[Reputación],"",0)</f>
        <v>9</v>
      </c>
      <c r="G16" s="139">
        <f>_xlfn.XLOOKUP(B16,C_Corrupción[ID_C],C_Corrupción[Causas],"",0)</f>
        <v>0</v>
      </c>
      <c r="H16" s="139" t="str">
        <f>_xlfn.XLOOKUP(B16,C_Corrupción[ID_C],C_Corrupción[Código control],"",0)</f>
        <v/>
      </c>
      <c r="I16" s="145">
        <f>_xlfn.XLOOKUP(B16,C_Corrupción[ID_C],C_Corrupción[Responsable de ejecutar],"",0)</f>
        <v>0</v>
      </c>
      <c r="J16" s="139">
        <f>_xlfn.XLOOKUP(B16,C_Corrupción[ID_C],C_Corrupción[Acción de control],"",0)</f>
        <v>0</v>
      </c>
      <c r="K16" s="139">
        <f>_xlfn.XLOOKUP(B16,C_Corrupción[ID_C],C_Corrupción[Complemento],"",0)</f>
        <v>0</v>
      </c>
      <c r="L16" s="139">
        <f>_xlfn.XLOOKUP(B16,C_Corrupción[ID_C],C_Corrupción[Momento de ejecución],"",0)</f>
        <v>0</v>
      </c>
      <c r="M16" s="139">
        <f>_xlfn.XLOOKUP(B16,C_Corrupción[ID_C],C_Corrupción[Forma de ejecución],"",0)</f>
        <v>0</v>
      </c>
      <c r="Q16" s="144">
        <f>_xlfn.XLOOKUP(B16,C_Corrupción[ID_C],C_Corrupción[Documentación],"",0)</f>
        <v>0</v>
      </c>
      <c r="R16" s="146">
        <f>_xlfn.XLOOKUP(B16,C_Corrupción[ID_C],C_Corrupción[Frecuencia],"",0)</f>
        <v>0</v>
      </c>
      <c r="S16" s="144">
        <f>_xlfn.XLOOKUP(B16,C_Corrupción[ID_C],C_Corrupción[Evidencia],"",0)</f>
        <v>0</v>
      </c>
      <c r="T16" s="144">
        <f>_xlfn.XLOOKUP(B16,C_Corrupción[ID_C],C_Corrupción[Tratamiento],"",0)</f>
        <v>0</v>
      </c>
      <c r="U16" s="144">
        <f>_xlfn.XLOOKUP(B16,C_Corrupción[ID_C],C_Corrupción[Actividad fortalecimiento],"",0)</f>
        <v>0</v>
      </c>
      <c r="V16" s="147">
        <f>_xlfn.XLOOKUP(B16,C_Corrupción[ID_C],C_Corrupción[Responsable estrategia],"",0)</f>
        <v>0</v>
      </c>
      <c r="W16" s="148">
        <f>_xlfn.XLOOKUP(B16,C_Corrupción[ID_C],C_Corrupción[Fecha inicio],"",0)</f>
        <v>0</v>
      </c>
      <c r="X16" s="148">
        <f>_xlfn.XLOOKUP(B16,C_Corrupción[ID_C],C_Corrupción[Fecha fin],"",0)</f>
        <v>0</v>
      </c>
      <c r="Y16" s="149" t="str">
        <f>_xlfn.XLOOKUP(B16,C_Corrupción[ID_C],C_Corrupción[Peso],"",0)</f>
        <v/>
      </c>
      <c r="Z16" s="150" t="str">
        <f>_xlfn.XLOOKUP(B16,C_Corrupción[ID_C],C_Corrupción[Efecto],"",0)</f>
        <v/>
      </c>
      <c r="AA16" s="142">
        <f>_xlfn.XLOOKUP(B16,C_Corrupción[ID_C],C_Corrupción[Cambio P %],"",0)</f>
        <v>0.42</v>
      </c>
      <c r="AB16" s="142">
        <f>_xlfn.XLOOKUP(B16,C_Corrupción[ID_C],C_Corrupción[Cambio I %],"",0)</f>
        <v>0.60000000000000009</v>
      </c>
    </row>
    <row r="18" spans="2:12" x14ac:dyDescent="0.25">
      <c r="B18" s="249" t="s">
        <v>644</v>
      </c>
      <c r="C18" s="250"/>
      <c r="D18" s="250"/>
      <c r="E18" s="250"/>
      <c r="F18" s="250"/>
      <c r="H18" s="249" t="s">
        <v>644</v>
      </c>
      <c r="I18" s="250"/>
      <c r="J18" s="250"/>
      <c r="K18" s="250"/>
      <c r="L18" s="250"/>
    </row>
    <row r="19" spans="2:12" ht="17.25" thickBot="1" x14ac:dyDescent="0.3">
      <c r="B19" s="249"/>
      <c r="C19" s="251"/>
      <c r="D19" s="251"/>
      <c r="E19" s="251"/>
      <c r="F19" s="251"/>
      <c r="H19" s="249"/>
      <c r="I19" s="251"/>
      <c r="J19" s="251"/>
      <c r="K19" s="251"/>
      <c r="L19" s="251"/>
    </row>
    <row r="20" spans="2:12" x14ac:dyDescent="0.25">
      <c r="C20" s="252" t="s">
        <v>645</v>
      </c>
      <c r="D20" s="252"/>
      <c r="E20" s="252"/>
      <c r="F20" s="252"/>
      <c r="I20" s="252" t="s">
        <v>646</v>
      </c>
      <c r="J20" s="252"/>
      <c r="K20" s="252"/>
      <c r="L20" s="252"/>
    </row>
  </sheetData>
  <protectedRanges>
    <protectedRange algorithmName="SHA-512" hashValue="2cwbXB1gfNhyd5Qi8ruJz6rElyNwycdmu2HsCFMx6fFUmYYmerO60AdODHu+YaertFqS74i3wVGprsFU/7ec5g==" saltValue="aGitTY3u+C7UOW2L9nQYFw==" spinCount="100000" sqref="C10:F10" name="Rango1"/>
    <protectedRange algorithmName="SHA-512" hashValue="2cwbXB1gfNhyd5Qi8ruJz6rElyNwycdmu2HsCFMx6fFUmYYmerO60AdODHu+YaertFqS74i3wVGprsFU/7ec5g==" saltValue="aGitTY3u+C7UOW2L9nQYFw==" spinCount="100000" sqref="G5:J5" name="Rango1_1"/>
    <protectedRange algorithmName="SHA-512" hashValue="2cwbXB1gfNhyd5Qi8ruJz6rElyNwycdmu2HsCFMx6fFUmYYmerO60AdODHu+YaertFqS74i3wVGprsFU/7ec5g==" saltValue="aGitTY3u+C7UOW2L9nQYFw==" spinCount="100000" sqref="N5" name="Rango1_3"/>
  </protectedRanges>
  <mergeCells count="34">
    <mergeCell ref="B1:C1"/>
    <mergeCell ref="D4:K4"/>
    <mergeCell ref="L4:N4"/>
    <mergeCell ref="Q3:V3"/>
    <mergeCell ref="W3:X3"/>
    <mergeCell ref="Y3:AD3"/>
    <mergeCell ref="D3:N3"/>
    <mergeCell ref="Y4:AD4"/>
    <mergeCell ref="Q4:R4"/>
    <mergeCell ref="S4:T4"/>
    <mergeCell ref="U4:V4"/>
    <mergeCell ref="W4:X4"/>
    <mergeCell ref="B18:B19"/>
    <mergeCell ref="C18:F19"/>
    <mergeCell ref="H18:H19"/>
    <mergeCell ref="I18:L19"/>
    <mergeCell ref="C20:F20"/>
    <mergeCell ref="I20:L20"/>
    <mergeCell ref="Y9:AB9"/>
    <mergeCell ref="D1:K1"/>
    <mergeCell ref="L1:N1"/>
    <mergeCell ref="AC1:AE1"/>
    <mergeCell ref="Q1:R1"/>
    <mergeCell ref="S1:AB1"/>
    <mergeCell ref="Y8:AB8"/>
    <mergeCell ref="H8:M8"/>
    <mergeCell ref="T8:X8"/>
    <mergeCell ref="Q9:S9"/>
    <mergeCell ref="T9:X9"/>
    <mergeCell ref="Q8:S8"/>
    <mergeCell ref="C8:G8"/>
    <mergeCell ref="C9:F9"/>
    <mergeCell ref="H9:K9"/>
    <mergeCell ref="L9:M9"/>
  </mergeCells>
  <printOptions horizontalCentered="1"/>
  <pageMargins left="0.23622047244094491" right="0.23622047244094491" top="0.74803149606299213" bottom="0.74803149606299213" header="0.31496062992125984" footer="0.31496062992125984"/>
  <pageSetup scale="44" pageOrder="overThenDown" orientation="landscape" r:id="rId1"/>
  <headerFooter>
    <oddHeader>&amp;C&amp;14Ficha de riesgo operativo</oddHeader>
    <oddFooter>&amp;C&amp;P de &amp;N</oddFooter>
  </headerFooter>
  <colBreaks count="1" manualBreakCount="1">
    <brk id="15" max="2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7B17AC-290A-4BB9-A818-CA0EEA16F6CF}">
          <x14:formula1>
            <xm:f>Mapa_RC!$C$6:$C$21</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54D4F-61FD-47CC-95E2-AC4FE199EB12}">
  <dimension ref="A1:D34"/>
  <sheetViews>
    <sheetView topLeftCell="A27" workbookViewId="0">
      <selection activeCell="C28" sqref="C28"/>
    </sheetView>
  </sheetViews>
  <sheetFormatPr baseColWidth="10" defaultColWidth="11.42578125" defaultRowHeight="15" x14ac:dyDescent="0.25"/>
  <cols>
    <col min="1" max="1" width="11.42578125" style="102"/>
    <col min="2" max="2" width="28.85546875" style="102" customWidth="1"/>
    <col min="3" max="3" width="19.42578125" customWidth="1"/>
    <col min="4" max="4" width="16" customWidth="1"/>
  </cols>
  <sheetData>
    <row r="1" spans="1:4" x14ac:dyDescent="0.25">
      <c r="A1" s="262" t="s">
        <v>647</v>
      </c>
      <c r="B1" s="262"/>
      <c r="C1" s="262"/>
      <c r="D1" s="262"/>
    </row>
    <row r="2" spans="1:4" x14ac:dyDescent="0.25">
      <c r="A2" s="158">
        <v>1</v>
      </c>
      <c r="B2" s="263" t="s">
        <v>648</v>
      </c>
      <c r="C2" s="263"/>
      <c r="D2" s="263"/>
    </row>
    <row r="3" spans="1:4" x14ac:dyDescent="0.25">
      <c r="A3" s="158">
        <v>2</v>
      </c>
      <c r="B3" s="263" t="s">
        <v>649</v>
      </c>
      <c r="C3" s="263"/>
      <c r="D3" s="263"/>
    </row>
    <row r="4" spans="1:4" ht="32.25" customHeight="1" x14ac:dyDescent="0.25">
      <c r="A4" s="158">
        <v>3</v>
      </c>
      <c r="B4" s="264" t="s">
        <v>650</v>
      </c>
      <c r="C4" s="264"/>
      <c r="D4" s="264"/>
    </row>
    <row r="5" spans="1:4" x14ac:dyDescent="0.25">
      <c r="A5" s="158"/>
      <c r="B5" s="263" t="s">
        <v>651</v>
      </c>
      <c r="C5" s="263"/>
      <c r="D5" s="263"/>
    </row>
    <row r="7" spans="1:4" x14ac:dyDescent="0.25">
      <c r="A7" s="262" t="s">
        <v>652</v>
      </c>
      <c r="B7" s="262"/>
      <c r="C7" s="262"/>
      <c r="D7" s="262"/>
    </row>
    <row r="8" spans="1:4" ht="30" x14ac:dyDescent="0.25">
      <c r="A8" s="153" t="s">
        <v>653</v>
      </c>
      <c r="B8" s="153" t="s">
        <v>654</v>
      </c>
      <c r="C8" s="154" t="s">
        <v>655</v>
      </c>
      <c r="D8" s="154" t="s">
        <v>656</v>
      </c>
    </row>
    <row r="9" spans="1:4" ht="105" x14ac:dyDescent="0.25">
      <c r="A9" s="155" t="s">
        <v>657</v>
      </c>
      <c r="B9" s="156" t="s">
        <v>658</v>
      </c>
      <c r="C9" s="155" t="s">
        <v>659</v>
      </c>
      <c r="D9" s="155" t="s">
        <v>660</v>
      </c>
    </row>
    <row r="10" spans="1:4" ht="90" x14ac:dyDescent="0.25">
      <c r="A10" s="155" t="s">
        <v>267</v>
      </c>
      <c r="B10" s="156" t="s">
        <v>661</v>
      </c>
      <c r="C10" s="155" t="s">
        <v>662</v>
      </c>
      <c r="D10" s="155" t="s">
        <v>660</v>
      </c>
    </row>
    <row r="11" spans="1:4" ht="135" x14ac:dyDescent="0.25">
      <c r="A11" s="155" t="s">
        <v>273</v>
      </c>
      <c r="B11" s="156" t="s">
        <v>663</v>
      </c>
      <c r="C11" s="155" t="s">
        <v>664</v>
      </c>
      <c r="D11" s="155" t="s">
        <v>660</v>
      </c>
    </row>
    <row r="12" spans="1:4" ht="30" x14ac:dyDescent="0.25">
      <c r="A12" s="259" t="s">
        <v>665</v>
      </c>
      <c r="B12" s="156" t="s">
        <v>666</v>
      </c>
      <c r="C12" s="155" t="s">
        <v>667</v>
      </c>
      <c r="D12" s="155" t="s">
        <v>660</v>
      </c>
    </row>
    <row r="13" spans="1:4" ht="135" x14ac:dyDescent="0.25">
      <c r="A13" s="260"/>
      <c r="B13" s="156" t="s">
        <v>661</v>
      </c>
      <c r="C13" s="155" t="s">
        <v>668</v>
      </c>
      <c r="D13" s="155" t="s">
        <v>660</v>
      </c>
    </row>
    <row r="14" spans="1:4" ht="45" x14ac:dyDescent="0.25">
      <c r="A14" s="261"/>
      <c r="B14" s="156" t="s">
        <v>669</v>
      </c>
      <c r="C14" s="155" t="s">
        <v>670</v>
      </c>
      <c r="D14" s="155" t="s">
        <v>660</v>
      </c>
    </row>
    <row r="15" spans="1:4" ht="120" x14ac:dyDescent="0.25">
      <c r="A15" s="156" t="s">
        <v>284</v>
      </c>
      <c r="B15" s="156" t="s">
        <v>671</v>
      </c>
      <c r="C15" s="155" t="s">
        <v>672</v>
      </c>
      <c r="D15" s="155" t="s">
        <v>660</v>
      </c>
    </row>
    <row r="16" spans="1:4" ht="30" x14ac:dyDescent="0.25">
      <c r="A16" s="155" t="s">
        <v>673</v>
      </c>
      <c r="B16" s="156" t="s">
        <v>674</v>
      </c>
      <c r="C16" s="155" t="s">
        <v>675</v>
      </c>
      <c r="D16" s="155" t="s">
        <v>660</v>
      </c>
    </row>
    <row r="17" spans="1:4" ht="75" x14ac:dyDescent="0.25">
      <c r="A17" s="259" t="s">
        <v>296</v>
      </c>
      <c r="B17" s="156" t="s">
        <v>139</v>
      </c>
      <c r="C17" s="155" t="s">
        <v>676</v>
      </c>
      <c r="D17" s="155" t="s">
        <v>660</v>
      </c>
    </row>
    <row r="18" spans="1:4" x14ac:dyDescent="0.25">
      <c r="A18" s="261"/>
      <c r="B18" s="156" t="s">
        <v>658</v>
      </c>
      <c r="C18" s="155"/>
      <c r="D18" s="155" t="s">
        <v>660</v>
      </c>
    </row>
    <row r="19" spans="1:4" x14ac:dyDescent="0.25">
      <c r="A19" s="155" t="s">
        <v>298</v>
      </c>
      <c r="B19" s="156" t="s">
        <v>677</v>
      </c>
      <c r="C19" s="155" t="s">
        <v>660</v>
      </c>
      <c r="D19" s="155" t="s">
        <v>660</v>
      </c>
    </row>
    <row r="20" spans="1:4" x14ac:dyDescent="0.25">
      <c r="A20" s="155" t="s">
        <v>304</v>
      </c>
      <c r="B20" s="156" t="s">
        <v>677</v>
      </c>
      <c r="C20" s="155" t="s">
        <v>660</v>
      </c>
      <c r="D20" s="155" t="s">
        <v>660</v>
      </c>
    </row>
    <row r="21" spans="1:4" x14ac:dyDescent="0.25">
      <c r="A21" s="155" t="s">
        <v>308</v>
      </c>
      <c r="B21" s="156" t="s">
        <v>677</v>
      </c>
      <c r="C21" s="155" t="s">
        <v>660</v>
      </c>
      <c r="D21" s="155" t="s">
        <v>660</v>
      </c>
    </row>
    <row r="22" spans="1:4" ht="60" x14ac:dyDescent="0.25">
      <c r="A22" s="152"/>
      <c r="B22" s="156" t="s">
        <v>678</v>
      </c>
      <c r="C22" s="155" t="s">
        <v>679</v>
      </c>
      <c r="D22" s="151"/>
    </row>
    <row r="23" spans="1:4" ht="30" x14ac:dyDescent="0.25">
      <c r="A23" s="152"/>
      <c r="B23" s="156" t="s">
        <v>674</v>
      </c>
      <c r="C23" s="155" t="s">
        <v>680</v>
      </c>
      <c r="D23" s="151"/>
    </row>
    <row r="24" spans="1:4" ht="105" x14ac:dyDescent="0.25">
      <c r="A24" s="155" t="s">
        <v>314</v>
      </c>
      <c r="B24" s="156" t="s">
        <v>681</v>
      </c>
      <c r="C24" s="155" t="s">
        <v>682</v>
      </c>
      <c r="D24" s="155" t="s">
        <v>660</v>
      </c>
    </row>
    <row r="25" spans="1:4" ht="90" x14ac:dyDescent="0.25">
      <c r="A25" s="259" t="s">
        <v>320</v>
      </c>
      <c r="B25" s="156" t="s">
        <v>678</v>
      </c>
      <c r="C25" s="155" t="s">
        <v>683</v>
      </c>
      <c r="D25" s="155" t="s">
        <v>660</v>
      </c>
    </row>
    <row r="26" spans="1:4" ht="45" x14ac:dyDescent="0.25">
      <c r="A26" s="261"/>
      <c r="B26" s="156" t="s">
        <v>681</v>
      </c>
      <c r="C26" s="155" t="s">
        <v>684</v>
      </c>
      <c r="D26" s="155"/>
    </row>
    <row r="27" spans="1:4" ht="150" x14ac:dyDescent="0.25">
      <c r="A27" s="155" t="s">
        <v>325</v>
      </c>
      <c r="B27" s="156" t="s">
        <v>671</v>
      </c>
      <c r="C27" s="155" t="s">
        <v>685</v>
      </c>
      <c r="D27" s="155"/>
    </row>
    <row r="28" spans="1:4" x14ac:dyDescent="0.25">
      <c r="A28" s="155"/>
      <c r="B28" s="156" t="s">
        <v>570</v>
      </c>
      <c r="C28" s="155"/>
      <c r="D28" s="155"/>
    </row>
    <row r="29" spans="1:4" ht="60" x14ac:dyDescent="0.25">
      <c r="A29" s="155" t="s">
        <v>330</v>
      </c>
      <c r="B29" s="156" t="s">
        <v>686</v>
      </c>
      <c r="C29" s="155" t="s">
        <v>687</v>
      </c>
      <c r="D29" s="155" t="s">
        <v>660</v>
      </c>
    </row>
    <row r="30" spans="1:4" ht="105" x14ac:dyDescent="0.25">
      <c r="A30" s="155" t="s">
        <v>688</v>
      </c>
      <c r="B30" s="156" t="s">
        <v>658</v>
      </c>
      <c r="C30" s="155" t="s">
        <v>659</v>
      </c>
      <c r="D30" s="155" t="s">
        <v>660</v>
      </c>
    </row>
    <row r="31" spans="1:4" ht="105" x14ac:dyDescent="0.25">
      <c r="A31" s="259" t="s">
        <v>340</v>
      </c>
      <c r="B31" s="156" t="s">
        <v>681</v>
      </c>
      <c r="C31" s="155" t="s">
        <v>689</v>
      </c>
      <c r="D31" s="155" t="s">
        <v>660</v>
      </c>
    </row>
    <row r="32" spans="1:4" ht="60" x14ac:dyDescent="0.25">
      <c r="A32" s="260"/>
      <c r="B32" s="156" t="s">
        <v>136</v>
      </c>
      <c r="C32" s="155" t="s">
        <v>690</v>
      </c>
      <c r="D32" s="155" t="s">
        <v>660</v>
      </c>
    </row>
    <row r="33" spans="1:4" ht="30" x14ac:dyDescent="0.25">
      <c r="A33" s="260"/>
      <c r="B33" s="156" t="s">
        <v>663</v>
      </c>
      <c r="C33" s="155" t="s">
        <v>691</v>
      </c>
      <c r="D33" s="155" t="s">
        <v>660</v>
      </c>
    </row>
    <row r="34" spans="1:4" x14ac:dyDescent="0.25">
      <c r="A34" s="261"/>
      <c r="B34" s="152" t="s">
        <v>570</v>
      </c>
      <c r="C34" s="151"/>
      <c r="D34" s="151"/>
    </row>
  </sheetData>
  <autoFilter ref="A8:D34" xr:uid="{4E554D4F-61FD-47CC-95E2-AC4FE199EB12}"/>
  <mergeCells count="10">
    <mergeCell ref="A31:A34"/>
    <mergeCell ref="A25:A26"/>
    <mergeCell ref="A7:D7"/>
    <mergeCell ref="A1:D1"/>
    <mergeCell ref="B2:D2"/>
    <mergeCell ref="B3:D3"/>
    <mergeCell ref="B4:D4"/>
    <mergeCell ref="B5:D5"/>
    <mergeCell ref="A12:A14"/>
    <mergeCell ref="A17:A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9281-63BB-49CC-8FFE-7E905A505B2D}">
  <sheetPr>
    <tabColor theme="9" tint="-0.249977111117893"/>
  </sheetPr>
  <dimension ref="A1:Y41"/>
  <sheetViews>
    <sheetView zoomScale="85" zoomScaleNormal="85" workbookViewId="0">
      <selection activeCell="A14" sqref="A14"/>
    </sheetView>
  </sheetViews>
  <sheetFormatPr baseColWidth="10" defaultColWidth="10.85546875" defaultRowHeight="15" x14ac:dyDescent="0.25"/>
  <cols>
    <col min="1" max="1" width="25.85546875" style="34" customWidth="1"/>
    <col min="2" max="2" width="14.42578125" style="34" customWidth="1"/>
    <col min="3" max="6" width="12.140625" style="34" customWidth="1"/>
    <col min="7" max="7" width="5.140625" style="34" customWidth="1"/>
    <col min="8" max="8" width="16.85546875" style="34" bestFit="1" customWidth="1"/>
    <col min="9" max="9" width="20.7109375" style="34" bestFit="1" customWidth="1"/>
    <col min="10" max="10" width="15.42578125" style="34" bestFit="1" customWidth="1"/>
    <col min="11" max="11" width="4.28515625" style="34" customWidth="1"/>
    <col min="12" max="12" width="4.7109375" style="34" customWidth="1"/>
    <col min="13" max="13" width="10.85546875" style="34"/>
    <col min="14" max="16" width="18.28515625" style="34" customWidth="1"/>
    <col min="17" max="17" width="4.7109375" style="34" customWidth="1"/>
    <col min="18" max="18" width="14.85546875" style="34" bestFit="1" customWidth="1"/>
    <col min="19" max="19" width="15.140625" style="34" bestFit="1" customWidth="1"/>
    <col min="20" max="20" width="3.85546875" style="34" customWidth="1"/>
    <col min="21" max="21" width="4.7109375" style="34" customWidth="1"/>
    <col min="22" max="22" width="10.85546875" style="34"/>
    <col min="23" max="25" width="21.42578125" style="34" customWidth="1"/>
    <col min="26" max="16384" width="10.85546875" style="34"/>
  </cols>
  <sheetData>
    <row r="1" spans="1:25" ht="15" customHeight="1" x14ac:dyDescent="0.25">
      <c r="A1" s="97"/>
      <c r="B1" s="97"/>
      <c r="C1" s="97"/>
      <c r="D1" s="97"/>
      <c r="E1" s="97"/>
      <c r="F1" s="97"/>
      <c r="G1" s="97"/>
      <c r="H1" s="266" t="s">
        <v>625</v>
      </c>
      <c r="I1" s="266"/>
      <c r="J1" s="266"/>
      <c r="K1" s="98"/>
      <c r="L1" s="98"/>
      <c r="Q1" s="272" t="s">
        <v>626</v>
      </c>
      <c r="R1" s="272"/>
      <c r="S1" s="272"/>
      <c r="T1" s="272"/>
      <c r="U1" s="98"/>
    </row>
    <row r="2" spans="1:25" x14ac:dyDescent="0.25">
      <c r="A2" s="270" t="s">
        <v>627</v>
      </c>
      <c r="B2" s="270"/>
      <c r="C2" s="270"/>
      <c r="D2" s="99" t="s">
        <v>628</v>
      </c>
      <c r="E2" s="97"/>
      <c r="F2" s="99" t="s">
        <v>628</v>
      </c>
      <c r="G2" s="100"/>
      <c r="H2" s="266"/>
      <c r="I2" s="266"/>
      <c r="J2" s="266"/>
      <c r="Q2" s="272"/>
      <c r="R2" s="272"/>
      <c r="S2" s="272"/>
      <c r="T2" s="272"/>
    </row>
    <row r="3" spans="1:25" x14ac:dyDescent="0.25">
      <c r="A3" s="101"/>
      <c r="B3" s="101"/>
      <c r="C3" s="101"/>
      <c r="D3" s="101"/>
      <c r="E3" s="101"/>
      <c r="F3" s="101"/>
      <c r="G3" s="101"/>
      <c r="H3" s="114" t="s">
        <v>237</v>
      </c>
      <c r="I3" s="102" t="s">
        <v>629</v>
      </c>
      <c r="J3" s="103"/>
      <c r="R3" s="114" t="s">
        <v>238</v>
      </c>
      <c r="S3" s="102" t="s">
        <v>320</v>
      </c>
      <c r="T3" s="103"/>
    </row>
    <row r="4" spans="1:25" x14ac:dyDescent="0.25">
      <c r="A4" s="100"/>
      <c r="B4" s="100"/>
      <c r="C4" s="100"/>
      <c r="D4" s="100"/>
      <c r="E4" s="100"/>
      <c r="F4" s="100"/>
      <c r="G4" s="100"/>
      <c r="H4" s="100"/>
      <c r="R4" s="100"/>
    </row>
    <row r="5" spans="1:25" ht="30" x14ac:dyDescent="0.25">
      <c r="A5" s="104" t="s">
        <v>237</v>
      </c>
      <c r="B5" s="104" t="s">
        <v>238</v>
      </c>
      <c r="C5" s="104" t="s">
        <v>630</v>
      </c>
      <c r="D5" s="104" t="s">
        <v>631</v>
      </c>
      <c r="E5" s="104" t="s">
        <v>251</v>
      </c>
      <c r="F5" s="104" t="s">
        <v>259</v>
      </c>
      <c r="G5" s="100"/>
      <c r="H5" s="114" t="s">
        <v>238</v>
      </c>
      <c r="I5" s="102" t="s">
        <v>632</v>
      </c>
      <c r="J5" s="102" t="s">
        <v>633</v>
      </c>
      <c r="M5" s="271" t="str">
        <f>"Matriz de calor riesgo INHERENTE proceso: "&amp;I3</f>
        <v>Matriz de calor riesgo INHERENTE proceso: (Varios elementos)</v>
      </c>
      <c r="N5" s="271"/>
      <c r="O5" s="271"/>
      <c r="P5" s="271"/>
      <c r="R5" s="102" t="s">
        <v>634</v>
      </c>
      <c r="S5" s="102" t="s">
        <v>633</v>
      </c>
      <c r="T5"/>
      <c r="V5" s="268" t="str">
        <f>"Matriz de calor, comparación riesgo inherente y residual código: "&amp;S3</f>
        <v>Matriz de calor, comparación riesgo inherente y residual código: ADM-C1</v>
      </c>
      <c r="W5" s="268"/>
      <c r="X5" s="268"/>
      <c r="Y5" s="268"/>
    </row>
    <row r="6" spans="1:25" ht="16.5" x14ac:dyDescent="0.25">
      <c r="A6" s="105" t="str">
        <f>R_Corrupción[[#This Row],[Proceso]]</f>
        <v>Adquisiciones</v>
      </c>
      <c r="B6" s="105" t="str">
        <f>R_Corrupción[[#This Row],[Código riesgo]]</f>
        <v>ADQ-C1</v>
      </c>
      <c r="C6" s="106">
        <f>R_Corrupción[[#This Row],[Posición severidad i]]</f>
        <v>24</v>
      </c>
      <c r="D6" s="106">
        <f>R_Corrupción[[#This Row],[Posición severidad r]]</f>
        <v>17</v>
      </c>
      <c r="E6" s="128" t="str">
        <f>R_Corrupción[[#This Row],[Severidad inherente]]</f>
        <v>Extremo</v>
      </c>
      <c r="F6" s="128" t="str">
        <f>R_Corrupción[[#This Row],[Severidad residual]]</f>
        <v>Alto</v>
      </c>
      <c r="G6" s="100"/>
      <c r="H6" s="107" t="s">
        <v>320</v>
      </c>
      <c r="I6" s="138">
        <v>17</v>
      </c>
      <c r="J6" s="138">
        <v>16</v>
      </c>
      <c r="L6" s="265" t="s">
        <v>1</v>
      </c>
      <c r="M6" s="108" t="s">
        <v>91</v>
      </c>
      <c r="N6" s="115" t="str">
        <f>IF($I$6=Condiciones_RC!D45,"|"&amp;$H$6&amp;"| ","")&amp;IF($I$7=Condiciones_RC!D45,"|"&amp;$H$7&amp;"| ","")&amp;IF($I$8=Condiciones_RC!D45,"|"&amp;$H$8&amp;"| ","")&amp;IF($I$9=Condiciones_RC!D45,"|"&amp;$H$9&amp;"| ","")&amp;IF($I$10=Condiciones_RC!D45,"|"&amp;$H$10&amp;"| ","")&amp;IF($I$11=Condiciones_RC!D45,"|"&amp;$H$11&amp;"| ","")&amp;IF($I$12=Condiciones_RC!D45,"|"&amp;$H$12&amp;"| ","")&amp;IF($I$13=Condiciones_RC!D45,"|"&amp;$H$13&amp;"| ","")&amp;IF($I$14=Condiciones_RC!D45,"|"&amp;$H$14&amp;"| ","")&amp;IF($I$15=Condiciones_RC!D45,"|"&amp;$H$15&amp;"| ","")&amp;IF($I$16=Condiciones_RC!D45,"|"&amp;$H$16&amp;"| ","")&amp;IF($I$17=Condiciones_RC!D45,"|"&amp;$H$17&amp;"| ","")&amp;IF($I$18=Condiciones_RC!D45,"|"&amp;$H$18&amp;"| ","")&amp;IF($I$19=Condiciones_RC!D45,"|"&amp;$H$19&amp;"| ","")&amp;IF($I$20=Condiciones_RC!D45,"|"&amp;$H$20&amp;"| ","")&amp;IF($I$21=Condiciones_RC!D45,"|"&amp;$H$21&amp;"| ","")&amp;IF($I$22=Condiciones_RC!D45,"|"&amp;$H$22&amp;"| ","")&amp;IF($I$23=Condiciones_RC!D45,"|"&amp;$H$23&amp;"| ","")&amp;IF($I$24=Condiciones_RC!D45,"|"&amp;$H$24&amp;"| ","")&amp;IF($I$25=Condiciones_RC!D45,"|"&amp;$H$25&amp;"|","")</f>
        <v/>
      </c>
      <c r="O6" s="115" t="str">
        <f>IF($I$6=Condiciones_RC!E45,"|"&amp;$H$6&amp;"| ","")&amp;IF($I$7=Condiciones_RC!E45,"|"&amp;$H$7&amp;"| ","")&amp;IF($I$8=Condiciones_RC!E45,"|"&amp;$H$8&amp;"| ","")&amp;IF($I$9=Condiciones_RC!E45,"|"&amp;$H$9&amp;"| ","")&amp;IF($I$10=Condiciones_RC!E45,"|"&amp;$H$10&amp;"| ","")&amp;IF($I$11=Condiciones_RC!E45,"|"&amp;$H$11&amp;"| ","")&amp;IF($I$12=Condiciones_RC!E45,"|"&amp;$H$12&amp;"| ","")&amp;IF($I$13=Condiciones_RC!E45,"|"&amp;$H$13&amp;"| ","")&amp;IF($I$14=Condiciones_RC!E45,"|"&amp;$H$14&amp;"| ","")&amp;IF($I$15=Condiciones_RC!E45,"|"&amp;$H$15&amp;"| ","")&amp;IF($I$16=Condiciones_RC!E45,"|"&amp;$H$16&amp;"| ","")&amp;IF($I$17=Condiciones_RC!E45,"|"&amp;$H$17&amp;"| ","")&amp;IF($I$18=Condiciones_RC!E45,"|"&amp;$H$18&amp;"| ","")&amp;IF($I$19=Condiciones_RC!E45,"|"&amp;$H$19&amp;"| ","")&amp;IF($I$20=Condiciones_RC!E45,"|"&amp;$H$20&amp;"| ","")&amp;IF($I$21=Condiciones_RC!E45,"|"&amp;$H$21&amp;"| ","")&amp;IF($I$22=Condiciones_RC!E45,"|"&amp;$H$22&amp;"| ","")&amp;IF($I$23=Condiciones_RC!E45,"|"&amp;$H$23&amp;"| ","")&amp;IF($I$24=Condiciones_RC!E45,"|"&amp;$H$24&amp;"| ","")&amp;IF($I$25=Condiciones_RC!E45,"|"&amp;$H$25&amp;"|","")</f>
        <v/>
      </c>
      <c r="P6" s="116" t="str">
        <f>IF($I$6=Condiciones_RC!F45,"|"&amp;$H$6&amp;"| ","")&amp;IF($I$7=Condiciones_RC!F45,"|"&amp;$H$7&amp;"| ","")&amp;IF($I$8=Condiciones_RC!F45,"|"&amp;$H$8&amp;"| ","")&amp;IF($I$9=Condiciones_RC!F45,"|"&amp;$H$9&amp;"| ","")&amp;IF($I$10=Condiciones_RC!F45,"|"&amp;$H$10&amp;"| ","")&amp;IF($I$11=Condiciones_RC!F45,"|"&amp;$H$11&amp;"| ","")&amp;IF($I$12=Condiciones_RC!F45,"|"&amp;$H$12&amp;"| ","")&amp;IF($I$13=Condiciones_RC!F45,"|"&amp;$H$13&amp;"| ","")&amp;IF($I$14=Condiciones_RC!F45,"|"&amp;$H$14&amp;"| ","")&amp;IF($I$15=Condiciones_RC!F45,"|"&amp;$H$15&amp;"| ","")&amp;IF($I$16=Condiciones_RC!F45,"|"&amp;$H$16&amp;"| ","")&amp;IF($I$17=Condiciones_RC!F45,"|"&amp;$H$17&amp;"| ","")&amp;IF($I$18=Condiciones_RC!F45,"|"&amp;$H$18&amp;"| ","")&amp;IF($I$19=Condiciones_RC!F45,"|"&amp;$H$19&amp;"| ","")&amp;IF($I$20=Condiciones_RC!F45,"|"&amp;$H$20&amp;"| ","")&amp;IF($I$21=Condiciones_RC!F45,"|"&amp;$H$21&amp;"| ","")&amp;IF($I$22=Condiciones_RC!F45,"|"&amp;$H$22&amp;"| ","")&amp;IF($I$23=Condiciones_RC!F45,"|"&amp;$H$23&amp;"| ","")&amp;IF($I$24=Condiciones_RC!F45,"|"&amp;$H$24&amp;"| ","")&amp;IF($I$25=Condiciones_RC!F45,"|"&amp;$H$25&amp;"|","")</f>
        <v/>
      </c>
      <c r="R6" s="138">
        <v>17</v>
      </c>
      <c r="S6" s="138">
        <v>16</v>
      </c>
      <c r="T6"/>
      <c r="U6" s="265" t="s">
        <v>1</v>
      </c>
      <c r="V6" s="108" t="s">
        <v>91</v>
      </c>
      <c r="W6" s="121" t="str">
        <f>IF($R$6=Condiciones_RC!D45,"|"&amp;$S$3&amp;"i| ","")&amp;IF($S$6=Condiciones_RC!D45,"|"&amp;$S$3&amp;"r| ","")</f>
        <v/>
      </c>
      <c r="X6" s="121" t="str">
        <f>IF($R$6=Condiciones_RC!E45,"|"&amp;$S$3&amp;"i| ","")&amp;IF($S$6=Condiciones_RC!E45,"|"&amp;$S$3&amp;"r| ","")</f>
        <v/>
      </c>
      <c r="Y6" s="122" t="str">
        <f>IF($R$6=Condiciones_RC!F45,"|"&amp;$S$3&amp;"i| ","")&amp;IF($S$6=Condiciones_RC!F45,"|"&amp;$S$3&amp;"r| ","")</f>
        <v/>
      </c>
    </row>
    <row r="7" spans="1:25" ht="30" x14ac:dyDescent="0.25">
      <c r="A7" s="105" t="str">
        <f>R_Corrupción[[#This Row],[Proceso]]</f>
        <v>Direccionamiento estratégico</v>
      </c>
      <c r="B7" s="105" t="str">
        <f>R_Corrupción[[#This Row],[Código riesgo]]</f>
        <v>DIR-C1</v>
      </c>
      <c r="C7" s="106">
        <f>R_Corrupción[[#This Row],[Posición severidad i]]</f>
        <v>22</v>
      </c>
      <c r="D7" s="106">
        <f>R_Corrupción[[#This Row],[Posición severidad r]]</f>
        <v>14</v>
      </c>
      <c r="E7" s="128" t="str">
        <f>R_Corrupción[[#This Row],[Severidad inherente]]</f>
        <v>Extremo</v>
      </c>
      <c r="F7" s="128" t="str">
        <f>R_Corrupción[[#This Row],[Severidad residual]]</f>
        <v>Alto</v>
      </c>
      <c r="G7" s="100"/>
      <c r="H7" s="107" t="s">
        <v>335</v>
      </c>
      <c r="I7" s="138">
        <v>23</v>
      </c>
      <c r="J7" s="138">
        <v>16</v>
      </c>
      <c r="L7" s="265"/>
      <c r="M7" s="129" t="s">
        <v>92</v>
      </c>
      <c r="N7" s="115" t="str">
        <f>IF($I$6=Condiciones_RC!D46,"|"&amp;$H$6&amp;"| ","")&amp;IF($I$7=Condiciones_RC!D46,"|"&amp;$H$7&amp;"| ","")&amp;IF($I$8=Condiciones_RC!D46,"|"&amp;$H$8&amp;"| ","")&amp;IF($I$9=Condiciones_RC!D46,"|"&amp;$H$9&amp;"| ","")&amp;IF($I$10=Condiciones_RC!D46,"|"&amp;$H$10&amp;"| ","")&amp;IF($I$11=Condiciones_RC!D46,"|"&amp;$H$11&amp;"| ","")&amp;IF($I$12=Condiciones_RC!D46,"|"&amp;$H$12&amp;"| ","")&amp;IF($I$13=Condiciones_RC!D46,"|"&amp;$H$13&amp;"| ","")&amp;IF($I$14=Condiciones_RC!D46,"|"&amp;$H$14&amp;"| ","")&amp;IF($I$15=Condiciones_RC!D46,"|"&amp;$H$15&amp;"| ","")&amp;IF($I$16=Condiciones_RC!D46,"|"&amp;$H$16&amp;"| ","")&amp;IF($I$17=Condiciones_RC!D46,"|"&amp;$H$17&amp;"| ","")&amp;IF($I$18=Condiciones_RC!D46,"|"&amp;$H$18&amp;"| ","")&amp;IF($I$19=Condiciones_RC!D46,"|"&amp;$H$19&amp;"| ","")&amp;IF($I$20=Condiciones_RC!D46,"|"&amp;$H$20&amp;"| ","")&amp;IF($I$21=Condiciones_RC!D46,"|"&amp;$H$21&amp;"| ","")&amp;IF($I$22=Condiciones_RC!D46,"|"&amp;$H$22&amp;"| ","")&amp;IF($I$23=Condiciones_RC!D46,"|"&amp;$H$23&amp;"| ","")&amp;IF($I$24=Condiciones_RC!D46,"|"&amp;$H$24&amp;"| ","")&amp;IF($I$25=Condiciones_RC!D46,"|"&amp;$H$25&amp;"|","")</f>
        <v/>
      </c>
      <c r="O7" s="115" t="str">
        <f>IF($I$6=Condiciones_RC!E46,"|"&amp;$H$6&amp;"| ","")&amp;IF($I$7=Condiciones_RC!E46,"|"&amp;$H$7&amp;"| ","")&amp;IF($I$8=Condiciones_RC!E46,"|"&amp;$H$8&amp;"| ","")&amp;IF($I$9=Condiciones_RC!E46,"|"&amp;$H$9&amp;"| ","")&amp;IF($I$10=Condiciones_RC!E46,"|"&amp;$H$10&amp;"| ","")&amp;IF($I$11=Condiciones_RC!E46,"|"&amp;$H$11&amp;"| ","")&amp;IF($I$12=Condiciones_RC!E46,"|"&amp;$H$12&amp;"| ","")&amp;IF($I$13=Condiciones_RC!E46,"|"&amp;$H$13&amp;"| ","")&amp;IF($I$14=Condiciones_RC!E46,"|"&amp;$H$14&amp;"| ","")&amp;IF($I$15=Condiciones_RC!E46,"|"&amp;$H$15&amp;"| ","")&amp;IF($I$16=Condiciones_RC!E46,"|"&amp;$H$16&amp;"| ","")&amp;IF($I$17=Condiciones_RC!E46,"|"&amp;$H$17&amp;"| ","")&amp;IF($I$18=Condiciones_RC!E46,"|"&amp;$H$18&amp;"| ","")&amp;IF($I$19=Condiciones_RC!E46,"|"&amp;$H$19&amp;"| ","")&amp;IF($I$20=Condiciones_RC!E46,"|"&amp;$H$20&amp;"| ","")&amp;IF($I$21=Condiciones_RC!E46,"|"&amp;$H$21&amp;"| ","")&amp;IF($I$22=Condiciones_RC!E46,"|"&amp;$H$22&amp;"| ","")&amp;IF($I$23=Condiciones_RC!E46,"|"&amp;$H$23&amp;"| ","")&amp;IF($I$24=Condiciones_RC!E46,"|"&amp;$H$24&amp;"| ","")&amp;IF($I$25=Condiciones_RC!E46,"|"&amp;$H$25&amp;"|","")</f>
        <v/>
      </c>
      <c r="P7" s="116" t="str">
        <f>IF($I$6=Condiciones_RC!F46,"|"&amp;$H$6&amp;"| ","")&amp;IF($I$7=Condiciones_RC!F46,"|"&amp;$H$7&amp;"| ","")&amp;IF($I$8=Condiciones_RC!F46,"|"&amp;$H$8&amp;"| ","")&amp;IF($I$9=Condiciones_RC!F46,"|"&amp;$H$9&amp;"| ","")&amp;IF($I$10=Condiciones_RC!F46,"|"&amp;$H$10&amp;"| ","")&amp;IF($I$11=Condiciones_RC!F46,"|"&amp;$H$11&amp;"| ","")&amp;IF($I$12=Condiciones_RC!F46,"|"&amp;$H$12&amp;"| ","")&amp;IF($I$13=Condiciones_RC!F46,"|"&amp;$H$13&amp;"| ","")&amp;IF($I$14=Condiciones_RC!F46,"|"&amp;$H$14&amp;"| ","")&amp;IF($I$15=Condiciones_RC!F46,"|"&amp;$H$15&amp;"| ","")&amp;IF($I$16=Condiciones_RC!F46,"|"&amp;$H$16&amp;"| ","")&amp;IF($I$17=Condiciones_RC!F46,"|"&amp;$H$17&amp;"| ","")&amp;IF($I$18=Condiciones_RC!F46,"|"&amp;$H$18&amp;"| ","")&amp;IF($I$19=Condiciones_RC!F46,"|"&amp;$H$19&amp;"| ","")&amp;IF($I$20=Condiciones_RC!F46,"|"&amp;$H$20&amp;"| ","")&amp;IF($I$21=Condiciones_RC!F46,"|"&amp;$H$21&amp;"| ","")&amp;IF($I$22=Condiciones_RC!F46,"|"&amp;$H$22&amp;"| ","")&amp;IF($I$23=Condiciones_RC!F46,"|"&amp;$H$23&amp;"| ","")&amp;IF($I$24=Condiciones_RC!F46,"|"&amp;$H$24&amp;"| ","")&amp;IF($I$25=Condiciones_RC!F46,"|"&amp;$H$25&amp;"|","")</f>
        <v/>
      </c>
      <c r="R7"/>
      <c r="S7"/>
      <c r="T7"/>
      <c r="U7" s="265"/>
      <c r="V7" s="109" t="s">
        <v>92</v>
      </c>
      <c r="W7" s="121" t="str">
        <f>IF($R$6=Condiciones_RC!D46,"|"&amp;$S$3&amp;"i| ","")&amp;IF($S$6=Condiciones_RC!D46,"|"&amp;$S$3&amp;"r| ","")</f>
        <v/>
      </c>
      <c r="X7" s="121" t="str">
        <f>IF($R$6=Condiciones_RC!E46,"|"&amp;$S$3&amp;"i| ","")&amp;IF($S$6=Condiciones_RC!E46,"|"&amp;$S$3&amp;"r| ","")</f>
        <v/>
      </c>
      <c r="Y7" s="122" t="str">
        <f>IF($R$6=Condiciones_RC!F46,"|"&amp;$S$3&amp;"i| ","")&amp;IF($S$6=Condiciones_RC!F46,"|"&amp;$S$3&amp;"r| ","")</f>
        <v/>
      </c>
    </row>
    <row r="8" spans="1:25" ht="30" x14ac:dyDescent="0.25">
      <c r="A8" s="105" t="str">
        <f>R_Corrupción[[#This Row],[Proceso]]</f>
        <v>Direccionamiento estratégico</v>
      </c>
      <c r="B8" s="105" t="str">
        <f>R_Corrupción[[#This Row],[Código riesgo]]</f>
        <v>DIR-C2</v>
      </c>
      <c r="C8" s="106">
        <f>R_Corrupción[[#This Row],[Posición severidad i]]</f>
        <v>22</v>
      </c>
      <c r="D8" s="106">
        <f>R_Corrupción[[#This Row],[Posición severidad r]]</f>
        <v>14</v>
      </c>
      <c r="E8" s="128" t="str">
        <f>R_Corrupción[[#This Row],[Severidad inherente]]</f>
        <v>Extremo</v>
      </c>
      <c r="F8" s="128" t="str">
        <f>R_Corrupción[[#This Row],[Severidad residual]]</f>
        <v>Alto</v>
      </c>
      <c r="G8" s="100"/>
      <c r="H8" s="107" t="s">
        <v>278</v>
      </c>
      <c r="I8" s="138">
        <v>16</v>
      </c>
      <c r="J8" s="138">
        <v>14</v>
      </c>
      <c r="L8" s="265"/>
      <c r="M8" s="110" t="s">
        <v>93</v>
      </c>
      <c r="N8" s="117" t="str">
        <f>IF($I$6=Condiciones_RC!D47,"|"&amp;$H$6&amp;"| ","")&amp;IF($I$7=Condiciones_RC!D47,"|"&amp;$H$7&amp;"| ","")&amp;IF($I$8=Condiciones_RC!D47,"|"&amp;$H$8&amp;"| ","")&amp;IF($I$9=Condiciones_RC!D47,"|"&amp;$H$9&amp;"| ","")&amp;IF($I$10=Condiciones_RC!D47,"|"&amp;$H$10&amp;"| ","")&amp;IF($I$11=Condiciones_RC!D47,"|"&amp;$H$11&amp;"| ","")&amp;IF($I$12=Condiciones_RC!D47,"|"&amp;$H$12&amp;"| ","")&amp;IF($I$13=Condiciones_RC!D47,"|"&amp;$H$13&amp;"| ","")&amp;IF($I$14=Condiciones_RC!D47,"|"&amp;$H$14&amp;"| ","")&amp;IF($I$15=Condiciones_RC!D47,"|"&amp;$H$15&amp;"| ","")&amp;IF($I$16=Condiciones_RC!D47,"|"&amp;$H$16&amp;"| ","")&amp;IF($I$17=Condiciones_RC!D47,"|"&amp;$H$17&amp;"| ","")&amp;IF($I$18=Condiciones_RC!D47,"|"&amp;$H$18&amp;"| ","")&amp;IF($I$19=Condiciones_RC!D47,"|"&amp;$H$19&amp;"| ","")&amp;IF($I$20=Condiciones_RC!D47,"|"&amp;$H$20&amp;"| ","")&amp;IF($I$21=Condiciones_RC!D47,"|"&amp;$H$21&amp;"| ","")&amp;IF($I$22=Condiciones_RC!D47,"|"&amp;$H$22&amp;"| ","")&amp;IF($I$23=Condiciones_RC!D47,"|"&amp;$H$23&amp;"| ","")&amp;IF($I$24=Condiciones_RC!D47,"|"&amp;$H$24&amp;"| ","")&amp;IF($I$25=Condiciones_RC!D47,"|"&amp;$H$25&amp;"|","")</f>
        <v/>
      </c>
      <c r="O8" s="115" t="str">
        <f>IF($I$6=Condiciones_RC!E47,"|"&amp;$H$6&amp;"| ","")&amp;IF($I$7=Condiciones_RC!E47,"|"&amp;$H$7&amp;"| ","")&amp;IF($I$8=Condiciones_RC!E47,"|"&amp;$H$8&amp;"| ","")&amp;IF($I$9=Condiciones_RC!E47,"|"&amp;$H$9&amp;"| ","")&amp;IF($I$10=Condiciones_RC!E47,"|"&amp;$H$10&amp;"| ","")&amp;IF($I$11=Condiciones_RC!E47,"|"&amp;$H$11&amp;"| ","")&amp;IF($I$12=Condiciones_RC!E47,"|"&amp;$H$12&amp;"| ","")&amp;IF($I$13=Condiciones_RC!E47,"|"&amp;$H$13&amp;"| ","")&amp;IF($I$14=Condiciones_RC!E47,"|"&amp;$H$14&amp;"| ","")&amp;IF($I$15=Condiciones_RC!E47,"|"&amp;$H$15&amp;"| ","")&amp;IF($I$16=Condiciones_RC!E47,"|"&amp;$H$16&amp;"| ","")&amp;IF($I$17=Condiciones_RC!E47,"|"&amp;$H$17&amp;"| ","")&amp;IF($I$18=Condiciones_RC!E47,"|"&amp;$H$18&amp;"| ","")&amp;IF($I$19=Condiciones_RC!E47,"|"&amp;$H$19&amp;"| ","")&amp;IF($I$20=Condiciones_RC!E47,"|"&amp;$H$20&amp;"| ","")&amp;IF($I$21=Condiciones_RC!E47,"|"&amp;$H$21&amp;"| ","")&amp;IF($I$22=Condiciones_RC!E47,"|"&amp;$H$22&amp;"| ","")&amp;IF($I$23=Condiciones_RC!E47,"|"&amp;$H$23&amp;"| ","")&amp;IF($I$24=Condiciones_RC!E47,"|"&amp;$H$24&amp;"| ","")&amp;IF($I$25=Condiciones_RC!E47,"|"&amp;$H$25&amp;"|","")</f>
        <v xml:space="preserve">|ADM-C1| </v>
      </c>
      <c r="P8" s="116" t="str">
        <f>IF($I$6=Condiciones_RC!F47,"|"&amp;$H$6&amp;"| ","")&amp;IF($I$7=Condiciones_RC!F47,"|"&amp;$H$7&amp;"| ","")&amp;IF($I$8=Condiciones_RC!F47,"|"&amp;$H$8&amp;"| ","")&amp;IF($I$9=Condiciones_RC!F47,"|"&amp;$H$9&amp;"| ","")&amp;IF($I$10=Condiciones_RC!F47,"|"&amp;$H$10&amp;"| ","")&amp;IF($I$11=Condiciones_RC!F47,"|"&amp;$H$11&amp;"| ","")&amp;IF($I$12=Condiciones_RC!F47,"|"&amp;$H$12&amp;"| ","")&amp;IF($I$13=Condiciones_RC!F47,"|"&amp;$H$13&amp;"| ","")&amp;IF($I$14=Condiciones_RC!F47,"|"&amp;$H$14&amp;"| ","")&amp;IF($I$15=Condiciones_RC!F47,"|"&amp;$H$15&amp;"| ","")&amp;IF($I$16=Condiciones_RC!F47,"|"&amp;$H$16&amp;"| ","")&amp;IF($I$17=Condiciones_RC!F47,"|"&amp;$H$17&amp;"| ","")&amp;IF($I$18=Condiciones_RC!F47,"|"&amp;$H$18&amp;"| ","")&amp;IF($I$19=Condiciones_RC!F47,"|"&amp;$H$19&amp;"| ","")&amp;IF($I$20=Condiciones_RC!F47,"|"&amp;$H$20&amp;"| ","")&amp;IF($I$21=Condiciones_RC!F47,"|"&amp;$H$21&amp;"| ","")&amp;IF($I$22=Condiciones_RC!F47,"|"&amp;$H$22&amp;"| ","")&amp;IF($I$23=Condiciones_RC!F47,"|"&amp;$H$23&amp;"| ","")&amp;IF($I$24=Condiciones_RC!F47,"|"&amp;$H$24&amp;"| ","")&amp;IF($I$25=Condiciones_RC!F47,"|"&amp;$H$25&amp;"|","")</f>
        <v xml:space="preserve">|ADQ-C2| </v>
      </c>
      <c r="R8"/>
      <c r="S8"/>
      <c r="T8"/>
      <c r="U8" s="265"/>
      <c r="V8" s="110" t="s">
        <v>93</v>
      </c>
      <c r="W8" s="123" t="str">
        <f>IF($R$6=Condiciones_RC!D47,"|"&amp;$S$3&amp;"i| ","")&amp;IF($S$6=Condiciones_RC!D47,"|"&amp;$S$3&amp;"r| ","")</f>
        <v/>
      </c>
      <c r="X8" s="121" t="str">
        <f>IF($R$6=Condiciones_RC!E47,"|"&amp;$S$3&amp;"i| ","")&amp;IF($S$6=Condiciones_RC!E47,"|"&amp;$S$3&amp;"r| ","")</f>
        <v xml:space="preserve">|ADM-C1i| </v>
      </c>
      <c r="Y8" s="122" t="str">
        <f>IF($R$6=Condiciones_RC!F47,"|"&amp;$S$3&amp;"i| ","")&amp;IF($S$6=Condiciones_RC!F47,"|"&amp;$S$3&amp;"r| ","")</f>
        <v/>
      </c>
    </row>
    <row r="9" spans="1:25" ht="30" x14ac:dyDescent="0.25">
      <c r="A9" s="105" t="str">
        <f>R_Corrupción[[#This Row],[Proceso]]</f>
        <v>Información y comunicación</v>
      </c>
      <c r="B9" s="105" t="str">
        <f>R_Corrupción[[#This Row],[Código riesgo]]</f>
        <v>COM-C1</v>
      </c>
      <c r="C9" s="106">
        <f>R_Corrupción[[#This Row],[Posición severidad i]]</f>
        <v>17</v>
      </c>
      <c r="D9" s="106">
        <f>R_Corrupción[[#This Row],[Posición severidad r]]</f>
        <v>14</v>
      </c>
      <c r="E9" s="128" t="str">
        <f>R_Corrupción[[#This Row],[Severidad inherente]]</f>
        <v>Alto</v>
      </c>
      <c r="F9" s="128" t="str">
        <f>R_Corrupción[[#This Row],[Severidad residual]]</f>
        <v>Alto</v>
      </c>
      <c r="G9" s="100"/>
      <c r="H9"/>
      <c r="I9"/>
      <c r="J9"/>
      <c r="L9" s="265"/>
      <c r="M9" s="111" t="s">
        <v>94</v>
      </c>
      <c r="N9" s="117" t="str">
        <f>IF($I$6=Condiciones_RC!D48,"|"&amp;$H$6&amp;"| ","")&amp;IF($I$7=Condiciones_RC!D48,"|"&amp;$H$7&amp;"| ","")&amp;IF($I$8=Condiciones_RC!D48,"|"&amp;$H$8&amp;"| ","")&amp;IF($I$9=Condiciones_RC!D48,"|"&amp;$H$9&amp;"| ","")&amp;IF($I$10=Condiciones_RC!D48,"|"&amp;$H$10&amp;"| ","")&amp;IF($I$11=Condiciones_RC!D48,"|"&amp;$H$11&amp;"| ","")&amp;IF($I$12=Condiciones_RC!D48,"|"&amp;$H$12&amp;"| ","")&amp;IF($I$13=Condiciones_RC!D48,"|"&amp;$H$13&amp;"| ","")&amp;IF($I$14=Condiciones_RC!D48,"|"&amp;$H$14&amp;"| ","")&amp;IF($I$15=Condiciones_RC!D48,"|"&amp;$H$15&amp;"| ","")&amp;IF($I$16=Condiciones_RC!D48,"|"&amp;$H$16&amp;"| ","")&amp;IF($I$17=Condiciones_RC!D48,"|"&amp;$H$17&amp;"| ","")&amp;IF($I$18=Condiciones_RC!D48,"|"&amp;$H$18&amp;"| ","")&amp;IF($I$19=Condiciones_RC!D48,"|"&amp;$H$19&amp;"| ","")&amp;IF($I$20=Condiciones_RC!D48,"|"&amp;$H$20&amp;"| ","")&amp;IF($I$21=Condiciones_RC!D48,"|"&amp;$H$21&amp;"| ","")&amp;IF($I$22=Condiciones_RC!D48,"|"&amp;$H$22&amp;"| ","")&amp;IF($I$23=Condiciones_RC!D48,"|"&amp;$H$23&amp;"| ","")&amp;IF($I$24=Condiciones_RC!D48,"|"&amp;$H$24&amp;"| ","")&amp;IF($I$25=Condiciones_RC!D48,"|"&amp;$H$25&amp;"|","")</f>
        <v/>
      </c>
      <c r="O9" s="115" t="str">
        <f>IF($I$6=Condiciones_RC!E48,"|"&amp;$H$6&amp;"| ","")&amp;IF($I$7=Condiciones_RC!E48,"|"&amp;$H$7&amp;"| ","")&amp;IF($I$8=Condiciones_RC!E48,"|"&amp;$H$8&amp;"| ","")&amp;IF($I$9=Condiciones_RC!E48,"|"&amp;$H$9&amp;"| ","")&amp;IF($I$10=Condiciones_RC!E48,"|"&amp;$H$10&amp;"| ","")&amp;IF($I$11=Condiciones_RC!E48,"|"&amp;$H$11&amp;"| ","")&amp;IF($I$12=Condiciones_RC!E48,"|"&amp;$H$12&amp;"| ","")&amp;IF($I$13=Condiciones_RC!E48,"|"&amp;$H$13&amp;"| ","")&amp;IF($I$14=Condiciones_RC!E48,"|"&amp;$H$14&amp;"| ","")&amp;IF($I$15=Condiciones_RC!E48,"|"&amp;$H$15&amp;"| ","")&amp;IF($I$16=Condiciones_RC!E48,"|"&amp;$H$16&amp;"| ","")&amp;IF($I$17=Condiciones_RC!E48,"|"&amp;$H$17&amp;"| ","")&amp;IF($I$18=Condiciones_RC!E48,"|"&amp;$H$18&amp;"| ","")&amp;IF($I$19=Condiciones_RC!E48,"|"&amp;$H$19&amp;"| ","")&amp;IF($I$20=Condiciones_RC!E48,"|"&amp;$H$20&amp;"| ","")&amp;IF($I$21=Condiciones_RC!E48,"|"&amp;$H$21&amp;"| ","")&amp;IF($I$22=Condiciones_RC!E48,"|"&amp;$H$22&amp;"| ","")&amp;IF($I$23=Condiciones_RC!E48,"|"&amp;$H$23&amp;"| ","")&amp;IF($I$24=Condiciones_RC!E48,"|"&amp;$H$24&amp;"| ","")&amp;IF($I$25=Condiciones_RC!E48,"|"&amp;$H$25&amp;"|","")</f>
        <v xml:space="preserve">|COM-C1| </v>
      </c>
      <c r="P9" s="116" t="str">
        <f>IF($I$6=Condiciones_RC!F48,"|"&amp;$H$6&amp;"| ","")&amp;IF($I$7=Condiciones_RC!F48,"|"&amp;$H$7&amp;"| ","")&amp;IF($I$8=Condiciones_RC!F48,"|"&amp;$H$8&amp;"| ","")&amp;IF($I$9=Condiciones_RC!F48,"|"&amp;$H$9&amp;"| ","")&amp;IF($I$10=Condiciones_RC!F48,"|"&amp;$H$10&amp;"| ","")&amp;IF($I$11=Condiciones_RC!F48,"|"&amp;$H$11&amp;"| ","")&amp;IF($I$12=Condiciones_RC!F48,"|"&amp;$H$12&amp;"| ","")&amp;IF($I$13=Condiciones_RC!F48,"|"&amp;$H$13&amp;"| ","")&amp;IF($I$14=Condiciones_RC!F48,"|"&amp;$H$14&amp;"| ","")&amp;IF($I$15=Condiciones_RC!F48,"|"&amp;$H$15&amp;"| ","")&amp;IF($I$16=Condiciones_RC!F48,"|"&amp;$H$16&amp;"| ","")&amp;IF($I$17=Condiciones_RC!F48,"|"&amp;$H$17&amp;"| ","")&amp;IF($I$18=Condiciones_RC!F48,"|"&amp;$H$18&amp;"| ","")&amp;IF($I$19=Condiciones_RC!F48,"|"&amp;$H$19&amp;"| ","")&amp;IF($I$20=Condiciones_RC!F48,"|"&amp;$H$20&amp;"| ","")&amp;IF($I$21=Condiciones_RC!F48,"|"&amp;$H$21&amp;"| ","")&amp;IF($I$22=Condiciones_RC!F48,"|"&amp;$H$22&amp;"| ","")&amp;IF($I$23=Condiciones_RC!F48,"|"&amp;$H$23&amp;"| ","")&amp;IF($I$24=Condiciones_RC!F48,"|"&amp;$H$24&amp;"| ","")&amp;IF($I$25=Condiciones_RC!F48,"|"&amp;$H$25&amp;"|","")</f>
        <v/>
      </c>
      <c r="U9" s="265"/>
      <c r="V9" s="111" t="s">
        <v>94</v>
      </c>
      <c r="W9" s="123" t="str">
        <f>IF($R$6=Condiciones_RC!D48,"|"&amp;$S$3&amp;"i| ","")&amp;IF($S$6=Condiciones_RC!D48,"|"&amp;$S$3&amp;"r| ","")</f>
        <v/>
      </c>
      <c r="X9" s="121" t="str">
        <f>IF($R$6=Condiciones_RC!E48,"|"&amp;$S$3&amp;"i| ","")&amp;IF($S$6=Condiciones_RC!E48,"|"&amp;$S$3&amp;"r| ","")</f>
        <v xml:space="preserve">|ADM-C1r| </v>
      </c>
      <c r="Y9" s="122" t="str">
        <f>IF($R$6=Condiciones_RC!F48,"|"&amp;$S$3&amp;"i| ","")&amp;IF($S$6=Condiciones_RC!F48,"|"&amp;$S$3&amp;"r| ","")</f>
        <v/>
      </c>
    </row>
    <row r="10" spans="1:25" ht="16.5" x14ac:dyDescent="0.25">
      <c r="A10" s="105" t="str">
        <f>R_Corrupción[[#This Row],[Proceso]]</f>
        <v>Formación</v>
      </c>
      <c r="B10" s="105" t="str">
        <f>R_Corrupción[[#This Row],[Código riesgo]]</f>
        <v>FOR-C1</v>
      </c>
      <c r="C10" s="106">
        <f>R_Corrupción[[#This Row],[Posición severidad i]]</f>
        <v>17</v>
      </c>
      <c r="D10" s="106">
        <f>R_Corrupción[[#This Row],[Posición severidad r]]</f>
        <v>12</v>
      </c>
      <c r="E10" s="128" t="str">
        <f>R_Corrupción[[#This Row],[Severidad inherente]]</f>
        <v>Alto</v>
      </c>
      <c r="F10" s="128" t="str">
        <f>R_Corrupción[[#This Row],[Severidad residual]]</f>
        <v>Moderado</v>
      </c>
      <c r="G10" s="100"/>
      <c r="H10"/>
      <c r="I10"/>
      <c r="J10"/>
      <c r="L10" s="265"/>
      <c r="M10" s="112" t="s">
        <v>95</v>
      </c>
      <c r="N10" s="117" t="str">
        <f>IF($I$6=Condiciones_RC!D49,"|"&amp;$H$6&amp;"| ","")&amp;IF($I$7=Condiciones_RC!D49,"|"&amp;$H$7&amp;"| ","")&amp;IF($I$8=Condiciones_RC!D49,"|"&amp;$H$8&amp;"| ","")&amp;IF($I$9=Condiciones_RC!D49,"|"&amp;$H$9&amp;"| ","")&amp;IF($I$10=Condiciones_RC!D49,"|"&amp;$H$10&amp;"| ","")&amp;IF($I$11=Condiciones_RC!D49,"|"&amp;$H$11&amp;"| ","")&amp;IF($I$12=Condiciones_RC!D49,"|"&amp;$H$12&amp;"| ","")&amp;IF($I$13=Condiciones_RC!D49,"|"&amp;$H$13&amp;"| ","")&amp;IF($I$14=Condiciones_RC!D49,"|"&amp;$H$14&amp;"| ","")&amp;IF($I$15=Condiciones_RC!D49,"|"&amp;$H$15&amp;"| ","")&amp;IF($I$16=Condiciones_RC!D49,"|"&amp;$H$16&amp;"| ","")&amp;IF($I$17=Condiciones_RC!D49,"|"&amp;$H$17&amp;"| ","")&amp;IF($I$18=Condiciones_RC!D49,"|"&amp;$H$18&amp;"| ","")&amp;IF($I$19=Condiciones_RC!D49,"|"&amp;$H$19&amp;"| ","")&amp;IF($I$20=Condiciones_RC!D49,"|"&amp;$H$20&amp;"| ","")&amp;IF($I$21=Condiciones_RC!D49,"|"&amp;$H$21&amp;"| ","")&amp;IF($I$22=Condiciones_RC!D49,"|"&amp;$H$22&amp;"| ","")&amp;IF($I$23=Condiciones_RC!D49,"|"&amp;$H$23&amp;"| ","")&amp;IF($I$24=Condiciones_RC!D49,"|"&amp;$H$24&amp;"| ","")&amp;IF($I$25=Condiciones_RC!D49,"|"&amp;$H$25&amp;"|","")</f>
        <v/>
      </c>
      <c r="O10" s="115" t="str">
        <f>IF($I$6=Condiciones_RC!E49,"|"&amp;$H$6&amp;"| ","")&amp;IF($I$7=Condiciones_RC!E49,"|"&amp;$H$7&amp;"| ","")&amp;IF($I$8=Condiciones_RC!E49,"|"&amp;$H$8&amp;"| ","")&amp;IF($I$9=Condiciones_RC!E49,"|"&amp;$H$9&amp;"| ","")&amp;IF($I$10=Condiciones_RC!E49,"|"&amp;$H$10&amp;"| ","")&amp;IF($I$11=Condiciones_RC!E49,"|"&amp;$H$11&amp;"| ","")&amp;IF($I$12=Condiciones_RC!E49,"|"&amp;$H$12&amp;"| ","")&amp;IF($I$13=Condiciones_RC!E49,"|"&amp;$H$13&amp;"| ","")&amp;IF($I$14=Condiciones_RC!E49,"|"&amp;$H$14&amp;"| ","")&amp;IF($I$15=Condiciones_RC!E49,"|"&amp;$H$15&amp;"| ","")&amp;IF($I$16=Condiciones_RC!E49,"|"&amp;$H$16&amp;"| ","")&amp;IF($I$17=Condiciones_RC!E49,"|"&amp;$H$17&amp;"| ","")&amp;IF($I$18=Condiciones_RC!E49,"|"&amp;$H$18&amp;"| ","")&amp;IF($I$19=Condiciones_RC!E49,"|"&amp;$H$19&amp;"| ","")&amp;IF($I$20=Condiciones_RC!E49,"|"&amp;$H$20&amp;"| ","")&amp;IF($I$21=Condiciones_RC!E49,"|"&amp;$H$21&amp;"| ","")&amp;IF($I$22=Condiciones_RC!E49,"|"&amp;$H$22&amp;"| ","")&amp;IF($I$23=Condiciones_RC!E49,"|"&amp;$H$23&amp;"| ","")&amp;IF($I$24=Condiciones_RC!E49,"|"&amp;$H$24&amp;"| ","")&amp;IF($I$25=Condiciones_RC!E49,"|"&amp;$H$25&amp;"|","")</f>
        <v/>
      </c>
      <c r="P10" s="116" t="str">
        <f>IF($I$6=Condiciones_RC!F49,"|"&amp;$H$6&amp;"| ","")&amp;IF($I$7=Condiciones_RC!F49,"|"&amp;$H$7&amp;"| ","")&amp;IF($I$8=Condiciones_RC!F49,"|"&amp;$H$8&amp;"| ","")&amp;IF($I$9=Condiciones_RC!F49,"|"&amp;$H$9&amp;"| ","")&amp;IF($I$10=Condiciones_RC!F49,"|"&amp;$H$10&amp;"| ","")&amp;IF($I$11=Condiciones_RC!F49,"|"&amp;$H$11&amp;"| ","")&amp;IF($I$12=Condiciones_RC!F49,"|"&amp;$H$12&amp;"| ","")&amp;IF($I$13=Condiciones_RC!F49,"|"&amp;$H$13&amp;"| ","")&amp;IF($I$14=Condiciones_RC!F49,"|"&amp;$H$14&amp;"| ","")&amp;IF($I$15=Condiciones_RC!F49,"|"&amp;$H$15&amp;"| ","")&amp;IF($I$16=Condiciones_RC!F49,"|"&amp;$H$16&amp;"| ","")&amp;IF($I$17=Condiciones_RC!F49,"|"&amp;$H$17&amp;"| ","")&amp;IF($I$18=Condiciones_RC!F49,"|"&amp;$H$18&amp;"| ","")&amp;IF($I$19=Condiciones_RC!F49,"|"&amp;$H$19&amp;"| ","")&amp;IF($I$20=Condiciones_RC!F49,"|"&amp;$H$20&amp;"| ","")&amp;IF($I$21=Condiciones_RC!F49,"|"&amp;$H$21&amp;"| ","")&amp;IF($I$22=Condiciones_RC!F49,"|"&amp;$H$22&amp;"| ","")&amp;IF($I$23=Condiciones_RC!F49,"|"&amp;$H$23&amp;"| ","")&amp;IF($I$24=Condiciones_RC!F49,"|"&amp;$H$24&amp;"| ","")&amp;IF($I$25=Condiciones_RC!F49,"|"&amp;$H$25&amp;"|","")</f>
        <v/>
      </c>
      <c r="U10" s="265"/>
      <c r="V10" s="112" t="s">
        <v>95</v>
      </c>
      <c r="W10" s="123" t="str">
        <f>IF($R$6=Condiciones_RC!D49,"|"&amp;$S$3&amp;"i| ","")&amp;IF($S$6=Condiciones_RC!D49,"|"&amp;$S$3&amp;"r| ","")</f>
        <v/>
      </c>
      <c r="X10" s="121" t="str">
        <f>IF($R$6=Condiciones_RC!E49,"|"&amp;$S$3&amp;"i| ","")&amp;IF($S$6=Condiciones_RC!E49,"|"&amp;$S$3&amp;"r| ","")</f>
        <v/>
      </c>
      <c r="Y10" s="122" t="str">
        <f>IF($R$6=Condiciones_RC!F49,"|"&amp;$S$3&amp;"i| ","")&amp;IF($S$6=Condiciones_RC!F49,"|"&amp;$S$3&amp;"r| ","")</f>
        <v/>
      </c>
    </row>
    <row r="11" spans="1:25" ht="16.5" x14ac:dyDescent="0.25">
      <c r="A11" s="105" t="str">
        <f>R_Corrupción[[#This Row],[Proceso]]</f>
        <v>Control Disciplinario</v>
      </c>
      <c r="B11" s="105" t="str">
        <f>R_Corrupción[[#This Row],[Código riesgo]]</f>
        <v>DISC-C1</v>
      </c>
      <c r="C11" s="106">
        <f>R_Corrupción[[#This Row],[Posición severidad i]]</f>
        <v>23</v>
      </c>
      <c r="D11" s="106">
        <f>R_Corrupción[[#This Row],[Posición severidad r]]</f>
        <v>16</v>
      </c>
      <c r="E11" s="128" t="str">
        <f>R_Corrupción[[#This Row],[Severidad inherente]]</f>
        <v>Extremo</v>
      </c>
      <c r="F11" s="128" t="str">
        <f>R_Corrupción[[#This Row],[Severidad residual]]</f>
        <v>Alto</v>
      </c>
      <c r="G11" s="100"/>
      <c r="H11"/>
      <c r="I11"/>
      <c r="J11"/>
      <c r="M11" s="113"/>
      <c r="N11" s="110" t="s">
        <v>96</v>
      </c>
      <c r="O11" s="109" t="s">
        <v>97</v>
      </c>
      <c r="P11" s="108" t="s">
        <v>98</v>
      </c>
      <c r="V11" s="113"/>
      <c r="W11" s="110" t="s">
        <v>96</v>
      </c>
      <c r="X11" s="109" t="s">
        <v>97</v>
      </c>
      <c r="Y11" s="108" t="s">
        <v>98</v>
      </c>
    </row>
    <row r="12" spans="1:25" x14ac:dyDescent="0.25">
      <c r="A12" s="105" t="str">
        <f>R_Corrupción[[#This Row],[Proceso]]</f>
        <v>Alianzas</v>
      </c>
      <c r="B12" s="105" t="str">
        <f>R_Corrupción[[#This Row],[Código riesgo]]</f>
        <v>ALI-C1</v>
      </c>
      <c r="C12" s="106">
        <f>R_Corrupción[[#This Row],[Posición severidad i]]</f>
        <v>22</v>
      </c>
      <c r="D12" s="106">
        <f>R_Corrupción[[#This Row],[Posición severidad r]]</f>
        <v>14</v>
      </c>
      <c r="E12" s="128" t="str">
        <f>R_Corrupción[[#This Row],[Severidad inherente]]</f>
        <v>Extremo</v>
      </c>
      <c r="F12" s="128" t="str">
        <f>R_Corrupción[[#This Row],[Severidad residual]]</f>
        <v>Alto</v>
      </c>
      <c r="G12" s="100"/>
      <c r="H12"/>
      <c r="I12"/>
      <c r="J12"/>
      <c r="N12" s="267" t="s">
        <v>25</v>
      </c>
      <c r="O12" s="267"/>
      <c r="P12" s="267"/>
      <c r="W12" s="267" t="s">
        <v>25</v>
      </c>
      <c r="X12" s="267"/>
      <c r="Y12" s="267"/>
    </row>
    <row r="13" spans="1:25" x14ac:dyDescent="0.25">
      <c r="A13" s="105" t="str">
        <f>R_Corrupción[[#This Row],[Proceso]]</f>
        <v>Contabilidad y presupuesto</v>
      </c>
      <c r="B13" s="105" t="str">
        <f>R_Corrupción[[#This Row],[Código riesgo]]</f>
        <v>PRE-C1</v>
      </c>
      <c r="C13" s="106">
        <f>R_Corrupción[[#This Row],[Posición severidad i]]</f>
        <v>19</v>
      </c>
      <c r="D13" s="106">
        <f>R_Corrupción[[#This Row],[Posición severidad r]]</f>
        <v>16</v>
      </c>
      <c r="E13" s="128" t="str">
        <f>R_Corrupción[[#This Row],[Severidad inherente]]</f>
        <v>Alto</v>
      </c>
      <c r="F13" s="128" t="str">
        <f>R_Corrupción[[#This Row],[Severidad residual]]</f>
        <v>Alto</v>
      </c>
      <c r="G13" s="100"/>
      <c r="H13"/>
      <c r="I13"/>
      <c r="J13"/>
    </row>
    <row r="14" spans="1:25" ht="18" x14ac:dyDescent="0.25">
      <c r="A14" s="105" t="str">
        <f>R_Corrupción[[#This Row],[Proceso]]</f>
        <v>Contabilidad y presupuesto</v>
      </c>
      <c r="B14" s="105" t="str">
        <f>R_Corrupción[[#This Row],[Código riesgo]]</f>
        <v>PRE-C2</v>
      </c>
      <c r="C14" s="106">
        <f>R_Corrupción[[#This Row],[Posición severidad i]]</f>
        <v>19</v>
      </c>
      <c r="D14" s="106">
        <f>R_Corrupción[[#This Row],[Posición severidad r]]</f>
        <v>16</v>
      </c>
      <c r="E14" s="128" t="str">
        <f>R_Corrupción[[#This Row],[Severidad inherente]]</f>
        <v>Alto</v>
      </c>
      <c r="F14" s="128" t="str">
        <f>R_Corrupción[[#This Row],[Severidad residual]]</f>
        <v>Alto</v>
      </c>
      <c r="G14" s="100"/>
      <c r="H14"/>
      <c r="I14"/>
      <c r="J14"/>
      <c r="M14" s="269" t="str">
        <f>"Matriz de calor riesgo RESIDUAL proceso: "&amp;I3</f>
        <v>Matriz de calor riesgo RESIDUAL proceso: (Varios elementos)</v>
      </c>
      <c r="N14" s="269"/>
      <c r="O14" s="269"/>
      <c r="P14" s="269"/>
      <c r="W14" s="130" t="s">
        <v>124</v>
      </c>
    </row>
    <row r="15" spans="1:25" ht="16.5" x14ac:dyDescent="0.25">
      <c r="A15" s="105" t="str">
        <f>R_Corrupción[[#This Row],[Proceso]]</f>
        <v>Contabilidad y presupuesto</v>
      </c>
      <c r="B15" s="105" t="str">
        <f>R_Corrupción[[#This Row],[Código riesgo]]</f>
        <v>PRE-C3</v>
      </c>
      <c r="C15" s="106">
        <f>R_Corrupción[[#This Row],[Posición severidad i]]</f>
        <v>17</v>
      </c>
      <c r="D15" s="106">
        <f>R_Corrupción[[#This Row],[Posición severidad r]]</f>
        <v>14</v>
      </c>
      <c r="E15" s="128" t="str">
        <f>R_Corrupción[[#This Row],[Severidad inherente]]</f>
        <v>Alto</v>
      </c>
      <c r="F15" s="128" t="str">
        <f>R_Corrupción[[#This Row],[Severidad residual]]</f>
        <v>Alto</v>
      </c>
      <c r="G15" s="100"/>
      <c r="H15"/>
      <c r="I15"/>
      <c r="J15"/>
      <c r="L15" s="265" t="s">
        <v>1</v>
      </c>
      <c r="M15" s="108" t="s">
        <v>91</v>
      </c>
      <c r="N15" s="118" t="str">
        <f>IF($J$6=Condiciones_RC!D45,"|"&amp;$H$6&amp;"| ","")&amp;IF($J$7=Condiciones_RC!D45,"|"&amp;$H$7&amp;"| ","")&amp;IF($J$8=Condiciones_RC!D45,"|"&amp;$H$8&amp;"| ","")&amp;IF($J$9=Condiciones_RC!D45,"|"&amp;$H$9&amp;"| ","")&amp;IF($J$10=Condiciones_RC!D45,"|"&amp;$H$10&amp;"| ","")&amp;IF($J$11=Condiciones_RC!D45,"|"&amp;$H$11&amp;"| ","")&amp;IF($J$12=Condiciones_RC!D45,"|"&amp;$H$12&amp;"| ","")&amp;IF($J$13=Condiciones_RC!D45,"|"&amp;$H$13&amp;"| ","")&amp;IF($J$14=Condiciones_RC!D45,"|"&amp;$H$14&amp;"| ","")&amp;IF($J$15=Condiciones_RC!D45,"|"&amp;$H$15&amp;"| ","")&amp;IF($J$16=Condiciones_RC!D45,"|"&amp;$H$16&amp;"| ","")&amp;IF($J$17=Condiciones_RC!D45,"|"&amp;$H$17&amp;"| ","")&amp;IF($J$18=Condiciones_RC!D45,"|"&amp;$H$18&amp;"| ","")&amp;IF($J$19=Condiciones_RC!D45,"|"&amp;$H$19&amp;"| ","")&amp;IF($J$20=Condiciones_RC!D45,"|"&amp;$H$20&amp;"| ","")&amp;IF($J$21=Condiciones_RC!D45,"|"&amp;$H$21&amp;"| ","")&amp;IF($J$22=Condiciones_RC!D45,"|"&amp;$H$22&amp;"| ","")&amp;IF($J$23=Condiciones_RC!D45,"|"&amp;$H$23&amp;"| ","")&amp;IF($J$24=Condiciones_RC!D45,"|"&amp;$H$24&amp;"| ","")&amp;IF($J$25=Condiciones_RC!D45,"|"&amp;$H$25&amp;"|","")</f>
        <v/>
      </c>
      <c r="O15" s="118" t="str">
        <f>IF($J$6=Condiciones_RC!E45,"|"&amp;$H$6&amp;"| ","")&amp;IF($J$7=Condiciones_RC!E45,"|"&amp;$H$7&amp;"| ","")&amp;IF($J$8=Condiciones_RC!E45,"|"&amp;$H$8&amp;"| ","")&amp;IF($J$9=Condiciones_RC!E45,"|"&amp;$H$9&amp;"| ","")&amp;IF($J$10=Condiciones_RC!E45,"|"&amp;$H$10&amp;"| ","")&amp;IF($J$11=Condiciones_RC!E45,"|"&amp;$H$11&amp;"| ","")&amp;IF($J$12=Condiciones_RC!E45,"|"&amp;$H$12&amp;"| ","")&amp;IF($J$13=Condiciones_RC!E45,"|"&amp;$H$13&amp;"| ","")&amp;IF($J$14=Condiciones_RC!E45,"|"&amp;$H$14&amp;"| ","")&amp;IF($J$15=Condiciones_RC!E45,"|"&amp;$H$15&amp;"| ","")&amp;IF($J$16=Condiciones_RC!E45,"|"&amp;$H$16&amp;"| ","")&amp;IF($J$17=Condiciones_RC!E45,"|"&amp;$H$17&amp;"| ","")&amp;IF($J$18=Condiciones_RC!E45,"|"&amp;$H$18&amp;"| ","")&amp;IF($J$19=Condiciones_RC!E45,"|"&amp;$H$19&amp;"| ","")&amp;IF($J$20=Condiciones_RC!E45,"|"&amp;$H$20&amp;"| ","")&amp;IF($J$21=Condiciones_RC!E45,"|"&amp;$H$21&amp;"| ","")&amp;IF($J$22=Condiciones_RC!E45,"|"&amp;$H$22&amp;"| ","")&amp;IF($J$23=Condiciones_RC!E45,"|"&amp;$H$23&amp;"| ","")&amp;IF($J$24=Condiciones_RC!E45,"|"&amp;$H$24&amp;"| ","")&amp;IF($J$25=Condiciones_RC!E45,"|"&amp;$H$25&amp;"|","")</f>
        <v/>
      </c>
      <c r="P15" s="119" t="str">
        <f>IF($J$6=Condiciones_RC!F45,"|"&amp;$H$6&amp;"| ","")&amp;IF($J$7=Condiciones_RC!F45,"|"&amp;$H$7&amp;"| ","")&amp;IF($J$8=Condiciones_RC!F45,"|"&amp;$H$8&amp;"| ","")&amp;IF($J$9=Condiciones_RC!F45,"|"&amp;$H$9&amp;"| ","")&amp;IF($J$10=Condiciones_RC!F45,"|"&amp;$H$10&amp;"| ","")&amp;IF($J$11=Condiciones_RC!F45,"|"&amp;$H$11&amp;"| ","")&amp;IF($J$12=Condiciones_RC!F45,"|"&amp;$H$12&amp;"| ","")&amp;IF($J$13=Condiciones_RC!F45,"|"&amp;$H$13&amp;"| ","")&amp;IF($J$14=Condiciones_RC!F45,"|"&amp;$H$14&amp;"| ","")&amp;IF($J$15=Condiciones_RC!F45,"|"&amp;$H$15&amp;"| ","")&amp;IF($J$16=Condiciones_RC!F45,"|"&amp;$H$16&amp;"| ","")&amp;IF($J$17=Condiciones_RC!F45,"|"&amp;$H$17&amp;"| ","")&amp;IF($J$18=Condiciones_RC!F45,"|"&amp;$H$18&amp;"| ","")&amp;IF($J$19=Condiciones_RC!F45,"|"&amp;$H$19&amp;"| ","")&amp;IF($J$20=Condiciones_RC!F45,"|"&amp;$H$20&amp;"| ","")&amp;IF($J$21=Condiciones_RC!F45,"|"&amp;$H$21&amp;"| ","")&amp;IF($J$22=Condiciones_RC!F45,"|"&amp;$H$22&amp;"| ","")&amp;IF($J$23=Condiciones_RC!F45,"|"&amp;$H$23&amp;"| ","")&amp;IF($J$24=Condiciones_RC!F45,"|"&amp;$H$24&amp;"| ","")&amp;IF($J$25=Condiciones_RC!F45,"|"&amp;$H$25&amp;"|","")</f>
        <v/>
      </c>
      <c r="W15" s="110" t="s">
        <v>96</v>
      </c>
    </row>
    <row r="16" spans="1:25" ht="45" x14ac:dyDescent="0.25">
      <c r="A16" s="105" t="str">
        <f>R_Corrupción[[#This Row],[Proceso]]</f>
        <v>Apropiación social del conocimiento y del patrimonio</v>
      </c>
      <c r="B16" s="105" t="str">
        <f>R_Corrupción[[#This Row],[Código riesgo]]</f>
        <v>APR-C1</v>
      </c>
      <c r="C16" s="106">
        <f>R_Corrupción[[#This Row],[Posición severidad i]]</f>
        <v>22</v>
      </c>
      <c r="D16" s="106">
        <f>R_Corrupción[[#This Row],[Posición severidad r]]</f>
        <v>14</v>
      </c>
      <c r="E16" s="128" t="str">
        <f>R_Corrupción[[#This Row],[Severidad inherente]]</f>
        <v>Extremo</v>
      </c>
      <c r="F16" s="128" t="str">
        <f>R_Corrupción[[#This Row],[Severidad residual]]</f>
        <v>Alto</v>
      </c>
      <c r="G16" s="100"/>
      <c r="H16"/>
      <c r="I16"/>
      <c r="J16"/>
      <c r="L16" s="265"/>
      <c r="M16" s="129" t="s">
        <v>92</v>
      </c>
      <c r="N16" s="118" t="str">
        <f>IF($J$6=Condiciones_RC!D46,"|"&amp;$H$6&amp;"| ","")&amp;IF($J$7=Condiciones_RC!D46,"|"&amp;$H$7&amp;"| ","")&amp;IF($J$8=Condiciones_RC!D46,"|"&amp;$H$8&amp;"| ","")&amp;IF($J$9=Condiciones_RC!D46,"|"&amp;$H$9&amp;"| ","")&amp;IF($J$10=Condiciones_RC!D46,"|"&amp;$H$10&amp;"| ","")&amp;IF($J$11=Condiciones_RC!D46,"|"&amp;$H$11&amp;"| ","")&amp;IF($J$12=Condiciones_RC!D46,"|"&amp;$H$12&amp;"| ","")&amp;IF($J$13=Condiciones_RC!D46,"|"&amp;$H$13&amp;"| ","")&amp;IF($J$14=Condiciones_RC!D46,"|"&amp;$H$14&amp;"| ","")&amp;IF($J$15=Condiciones_RC!D46,"|"&amp;$H$15&amp;"| ","")&amp;IF($J$16=Condiciones_RC!D46,"|"&amp;$H$16&amp;"| ","")&amp;IF($J$17=Condiciones_RC!D46,"|"&amp;$H$17&amp;"| ","")&amp;IF($J$18=Condiciones_RC!D46,"|"&amp;$H$18&amp;"| ","")&amp;IF($J$19=Condiciones_RC!D46,"|"&amp;$H$19&amp;"| ","")&amp;IF($J$20=Condiciones_RC!D46,"|"&amp;$H$20&amp;"| ","")&amp;IF($J$21=Condiciones_RC!D46,"|"&amp;$H$21&amp;"| ","")&amp;IF($J$22=Condiciones_RC!D46,"|"&amp;$H$22&amp;"| ","")&amp;IF($J$23=Condiciones_RC!D46,"|"&amp;$H$23&amp;"| ","")&amp;IF($J$24=Condiciones_RC!D46,"|"&amp;$H$24&amp;"| ","")&amp;IF($J$25=Condiciones_RC!D46,"|"&amp;$H$25&amp;"|","")</f>
        <v/>
      </c>
      <c r="O16" s="118" t="str">
        <f>IF($J$6=Condiciones_RC!E46,"|"&amp;$H$6&amp;"| ","")&amp;IF($J$7=Condiciones_RC!E46,"|"&amp;$H$7&amp;"| ","")&amp;IF($J$8=Condiciones_RC!E46,"|"&amp;$H$8&amp;"| ","")&amp;IF($J$9=Condiciones_RC!E46,"|"&amp;$H$9&amp;"| ","")&amp;IF($J$10=Condiciones_RC!E46,"|"&amp;$H$10&amp;"| ","")&amp;IF($J$11=Condiciones_RC!E46,"|"&amp;$H$11&amp;"| ","")&amp;IF($J$12=Condiciones_RC!E46,"|"&amp;$H$12&amp;"| ","")&amp;IF($J$13=Condiciones_RC!E46,"|"&amp;$H$13&amp;"| ","")&amp;IF($J$14=Condiciones_RC!E46,"|"&amp;$H$14&amp;"| ","")&amp;IF($J$15=Condiciones_RC!E46,"|"&amp;$H$15&amp;"| ","")&amp;IF($J$16=Condiciones_RC!E46,"|"&amp;$H$16&amp;"| ","")&amp;IF($J$17=Condiciones_RC!E46,"|"&amp;$H$17&amp;"| ","")&amp;IF($J$18=Condiciones_RC!E46,"|"&amp;$H$18&amp;"| ","")&amp;IF($J$19=Condiciones_RC!E46,"|"&amp;$H$19&amp;"| ","")&amp;IF($J$20=Condiciones_RC!E46,"|"&amp;$H$20&amp;"| ","")&amp;IF($J$21=Condiciones_RC!E46,"|"&amp;$H$21&amp;"| ","")&amp;IF($J$22=Condiciones_RC!E46,"|"&amp;$H$22&amp;"| ","")&amp;IF($J$23=Condiciones_RC!E46,"|"&amp;$H$23&amp;"| ","")&amp;IF($J$24=Condiciones_RC!E46,"|"&amp;$H$24&amp;"| ","")&amp;IF($J$25=Condiciones_RC!E46,"|"&amp;$H$25&amp;"|","")</f>
        <v/>
      </c>
      <c r="P16" s="119" t="str">
        <f>IF($J$6=Condiciones_RC!F46,"|"&amp;$H$6&amp;"| ","")&amp;IF($J$7=Condiciones_RC!F46,"|"&amp;$H$7&amp;"| ","")&amp;IF($J$8=Condiciones_RC!F46,"|"&amp;$H$8&amp;"| ","")&amp;IF($J$9=Condiciones_RC!F46,"|"&amp;$H$9&amp;"| ","")&amp;IF($J$10=Condiciones_RC!F46,"|"&amp;$H$10&amp;"| ","")&amp;IF($J$11=Condiciones_RC!F46,"|"&amp;$H$11&amp;"| ","")&amp;IF($J$12=Condiciones_RC!F46,"|"&amp;$H$12&amp;"| ","")&amp;IF($J$13=Condiciones_RC!F46,"|"&amp;$H$13&amp;"| ","")&amp;IF($J$14=Condiciones_RC!F46,"|"&amp;$H$14&amp;"| ","")&amp;IF($J$15=Condiciones_RC!F46,"|"&amp;$H$15&amp;"| ","")&amp;IF($J$16=Condiciones_RC!F46,"|"&amp;$H$16&amp;"| ","")&amp;IF($J$17=Condiciones_RC!F46,"|"&amp;$H$17&amp;"| ","")&amp;IF($J$18=Condiciones_RC!F46,"|"&amp;$H$18&amp;"| ","")&amp;IF($J$19=Condiciones_RC!F46,"|"&amp;$H$19&amp;"| ","")&amp;IF($J$20=Condiciones_RC!F46,"|"&amp;$H$20&amp;"| ","")&amp;IF($J$21=Condiciones_RC!F46,"|"&amp;$H$21&amp;"| ","")&amp;IF($J$22=Condiciones_RC!F46,"|"&amp;$H$22&amp;"| ","")&amp;IF($J$23=Condiciones_RC!F46,"|"&amp;$H$23&amp;"| ","")&amp;IF($J$24=Condiciones_RC!F46,"|"&amp;$H$24&amp;"| ","")&amp;IF($J$25=Condiciones_RC!F46,"|"&amp;$H$25&amp;"|","")</f>
        <v/>
      </c>
      <c r="W16" s="129" t="s">
        <v>125</v>
      </c>
    </row>
    <row r="17" spans="1:23" ht="30" x14ac:dyDescent="0.25">
      <c r="A17" s="105" t="str">
        <f>R_Corrupción[[#This Row],[Proceso]]</f>
        <v>Gestión de bienes y servicios</v>
      </c>
      <c r="B17" s="105" t="str">
        <f>R_Corrupción[[#This Row],[Código riesgo]]</f>
        <v>ADM-C1</v>
      </c>
      <c r="C17" s="106">
        <f>R_Corrupción[[#This Row],[Posición severidad i]]</f>
        <v>20</v>
      </c>
      <c r="D17" s="106">
        <f>R_Corrupción[[#This Row],[Posición severidad r]]</f>
        <v>17</v>
      </c>
      <c r="E17" s="128" t="str">
        <f>R_Corrupción[[#This Row],[Severidad inherente]]</f>
        <v>Alto</v>
      </c>
      <c r="F17" s="128" t="str">
        <f>R_Corrupción[[#This Row],[Severidad residual]]</f>
        <v>Alto</v>
      </c>
      <c r="G17" s="100"/>
      <c r="H17"/>
      <c r="I17"/>
      <c r="J17"/>
      <c r="L17" s="265"/>
      <c r="M17" s="110" t="s">
        <v>93</v>
      </c>
      <c r="N17" s="120" t="str">
        <f>IF($J$6=Condiciones_RC!D47,"|"&amp;$H$6&amp;"| ","")&amp;IF($J$7=Condiciones_RC!D47,"|"&amp;$H$7&amp;"| ","")&amp;IF($J$8=Condiciones_RC!D47,"|"&amp;$H$8&amp;"| ","")&amp;IF($J$9=Condiciones_RC!D47,"|"&amp;$H$9&amp;"| ","")&amp;IF($J$10=Condiciones_RC!D47,"|"&amp;$H$10&amp;"| ","")&amp;IF($J$11=Condiciones_RC!D47,"|"&amp;$H$11&amp;"| ","")&amp;IF($J$12=Condiciones_RC!D47,"|"&amp;$H$12&amp;"| ","")&amp;IF($J$13=Condiciones_RC!D47,"|"&amp;$H$13&amp;"| ","")&amp;IF($J$14=Condiciones_RC!D47,"|"&amp;$H$14&amp;"| ","")&amp;IF($J$15=Condiciones_RC!D47,"|"&amp;$H$15&amp;"| ","")&amp;IF($J$16=Condiciones_RC!D47,"|"&amp;$H$16&amp;"| ","")&amp;IF($J$17=Condiciones_RC!D47,"|"&amp;$H$17&amp;"| ","")&amp;IF($J$18=Condiciones_RC!D47,"|"&amp;$H$18&amp;"| ","")&amp;IF($J$19=Condiciones_RC!D47,"|"&amp;$H$19&amp;"| ","")&amp;IF($J$20=Condiciones_RC!D47,"|"&amp;$H$20&amp;"| ","")&amp;IF($J$21=Condiciones_RC!D47,"|"&amp;$H$21&amp;"| ","")&amp;IF($J$22=Condiciones_RC!D47,"|"&amp;$H$22&amp;"| ","")&amp;IF($J$23=Condiciones_RC!D47,"|"&amp;$H$23&amp;"| ","")&amp;IF($J$24=Condiciones_RC!D47,"|"&amp;$H$24&amp;"| ","")&amp;IF($J$25=Condiciones_RC!D47,"|"&amp;$H$25&amp;"|","")</f>
        <v/>
      </c>
      <c r="O17" s="118" t="str">
        <f>IF($J$6=Condiciones_RC!E47,"|"&amp;$H$6&amp;"| ","")&amp;IF($J$7=Condiciones_RC!E47,"|"&amp;$H$7&amp;"| ","")&amp;IF($J$8=Condiciones_RC!E47,"|"&amp;$H$8&amp;"| ","")&amp;IF($J$9=Condiciones_RC!E47,"|"&amp;$H$9&amp;"| ","")&amp;IF($J$10=Condiciones_RC!E47,"|"&amp;$H$10&amp;"| ","")&amp;IF($J$11=Condiciones_RC!E47,"|"&amp;$H$11&amp;"| ","")&amp;IF($J$12=Condiciones_RC!E47,"|"&amp;$H$12&amp;"| ","")&amp;IF($J$13=Condiciones_RC!E47,"|"&amp;$H$13&amp;"| ","")&amp;IF($J$14=Condiciones_RC!E47,"|"&amp;$H$14&amp;"| ","")&amp;IF($J$15=Condiciones_RC!E47,"|"&amp;$H$15&amp;"| ","")&amp;IF($J$16=Condiciones_RC!E47,"|"&amp;$H$16&amp;"| ","")&amp;IF($J$17=Condiciones_RC!E47,"|"&amp;$H$17&amp;"| ","")&amp;IF($J$18=Condiciones_RC!E47,"|"&amp;$H$18&amp;"| ","")&amp;IF($J$19=Condiciones_RC!E47,"|"&amp;$H$19&amp;"| ","")&amp;IF($J$20=Condiciones_RC!E47,"|"&amp;$H$20&amp;"| ","")&amp;IF($J$21=Condiciones_RC!E47,"|"&amp;$H$21&amp;"| ","")&amp;IF($J$22=Condiciones_RC!E47,"|"&amp;$H$22&amp;"| ","")&amp;IF($J$23=Condiciones_RC!E47,"|"&amp;$H$23&amp;"| ","")&amp;IF($J$24=Condiciones_RC!E47,"|"&amp;$H$24&amp;"| ","")&amp;IF($J$25=Condiciones_RC!E47,"|"&amp;$H$25&amp;"|","")</f>
        <v/>
      </c>
      <c r="P17" s="119" t="str">
        <f>IF($J$6=Condiciones_RC!F47,"|"&amp;$H$6&amp;"| ","")&amp;IF($J$7=Condiciones_RC!F47,"|"&amp;$H$7&amp;"| ","")&amp;IF($J$8=Condiciones_RC!F47,"|"&amp;$H$8&amp;"| ","")&amp;IF($J$9=Condiciones_RC!F47,"|"&amp;$H$9&amp;"| ","")&amp;IF($J$10=Condiciones_RC!F47,"|"&amp;$H$10&amp;"| ","")&amp;IF($J$11=Condiciones_RC!F47,"|"&amp;$H$11&amp;"| ","")&amp;IF($J$12=Condiciones_RC!F47,"|"&amp;$H$12&amp;"| ","")&amp;IF($J$13=Condiciones_RC!F47,"|"&amp;$H$13&amp;"| ","")&amp;IF($J$14=Condiciones_RC!F47,"|"&amp;$H$14&amp;"| ","")&amp;IF($J$15=Condiciones_RC!F47,"|"&amp;$H$15&amp;"| ","")&amp;IF($J$16=Condiciones_RC!F47,"|"&amp;$H$16&amp;"| ","")&amp;IF($J$17=Condiciones_RC!F47,"|"&amp;$H$17&amp;"| ","")&amp;IF($J$18=Condiciones_RC!F47,"|"&amp;$H$18&amp;"| ","")&amp;IF($J$19=Condiciones_RC!F47,"|"&amp;$H$19&amp;"| ","")&amp;IF($J$20=Condiciones_RC!F47,"|"&amp;$H$20&amp;"| ","")&amp;IF($J$21=Condiciones_RC!F47,"|"&amp;$H$21&amp;"| ","")&amp;IF($J$22=Condiciones_RC!F47,"|"&amp;$H$22&amp;"| ","")&amp;IF($J$23=Condiciones_RC!F47,"|"&amp;$H$23&amp;"| ","")&amp;IF($J$24=Condiciones_RC!F47,"|"&amp;$H$24&amp;"| ","")&amp;IF($J$25=Condiciones_RC!F47,"|"&amp;$H$25&amp;"|","")</f>
        <v/>
      </c>
      <c r="W17" s="108" t="s">
        <v>126</v>
      </c>
    </row>
    <row r="18" spans="1:23" ht="16.5" x14ac:dyDescent="0.25">
      <c r="A18" s="105" t="str">
        <f>R_Corrupción[[#This Row],[Proceso]]</f>
        <v>Formación</v>
      </c>
      <c r="B18" s="105" t="str">
        <f>R_Corrupción[[#This Row],[Código riesgo]]</f>
        <v>FOR-C2</v>
      </c>
      <c r="C18" s="106">
        <f>R_Corrupción[[#This Row],[Posición severidad i]]</f>
        <v>23</v>
      </c>
      <c r="D18" s="106">
        <f>R_Corrupción[[#This Row],[Posición severidad r]]</f>
        <v>17</v>
      </c>
      <c r="E18" s="128" t="str">
        <f>R_Corrupción[[#This Row],[Severidad inherente]]</f>
        <v>Extremo</v>
      </c>
      <c r="F18" s="128" t="str">
        <f>R_Corrupción[[#This Row],[Severidad residual]]</f>
        <v>Alto</v>
      </c>
      <c r="G18" s="100"/>
      <c r="H18"/>
      <c r="I18"/>
      <c r="J18"/>
      <c r="L18" s="265"/>
      <c r="M18" s="111" t="s">
        <v>94</v>
      </c>
      <c r="N18" s="120" t="str">
        <f>IF($J$6=Condiciones_RC!D48,"|"&amp;$H$6&amp;"| ","")&amp;IF($J$7=Condiciones_RC!D48,"|"&amp;$H$7&amp;"| ","")&amp;IF($J$8=Condiciones_RC!D48,"|"&amp;$H$8&amp;"| ","")&amp;IF($J$9=Condiciones_RC!D48,"|"&amp;$H$9&amp;"| ","")&amp;IF($J$10=Condiciones_RC!D48,"|"&amp;$H$10&amp;"| ","")&amp;IF($J$11=Condiciones_RC!D48,"|"&amp;$H$11&amp;"| ","")&amp;IF($J$12=Condiciones_RC!D48,"|"&amp;$H$12&amp;"| ","")&amp;IF($J$13=Condiciones_RC!D48,"|"&amp;$H$13&amp;"| ","")&amp;IF($J$14=Condiciones_RC!D48,"|"&amp;$H$14&amp;"| ","")&amp;IF($J$15=Condiciones_RC!D48,"|"&amp;$H$15&amp;"| ","")&amp;IF($J$16=Condiciones_RC!D48,"|"&amp;$H$16&amp;"| ","")&amp;IF($J$17=Condiciones_RC!D48,"|"&amp;$H$17&amp;"| ","")&amp;IF($J$18=Condiciones_RC!D48,"|"&amp;$H$18&amp;"| ","")&amp;IF($J$19=Condiciones_RC!D48,"|"&amp;$H$19&amp;"| ","")&amp;IF($J$20=Condiciones_RC!D48,"|"&amp;$H$20&amp;"| ","")&amp;IF($J$21=Condiciones_RC!D48,"|"&amp;$H$21&amp;"| ","")&amp;IF($J$22=Condiciones_RC!D48,"|"&amp;$H$22&amp;"| ","")&amp;IF($J$23=Condiciones_RC!D48,"|"&amp;$H$23&amp;"| ","")&amp;IF($J$24=Condiciones_RC!D48,"|"&amp;$H$24&amp;"| ","")&amp;IF($J$25=Condiciones_RC!D48,"|"&amp;$H$25&amp;"|","")</f>
        <v/>
      </c>
      <c r="O18" s="118" t="str">
        <f>IF($J$6=Condiciones_RC!E48,"|"&amp;$H$6&amp;"| ","")&amp;IF($J$7=Condiciones_RC!E48,"|"&amp;$H$7&amp;"| ","")&amp;IF($J$8=Condiciones_RC!E48,"|"&amp;$H$8&amp;"| ","")&amp;IF($J$9=Condiciones_RC!E48,"|"&amp;$H$9&amp;"| ","")&amp;IF($J$10=Condiciones_RC!E48,"|"&amp;$H$10&amp;"| ","")&amp;IF($J$11=Condiciones_RC!E48,"|"&amp;$H$11&amp;"| ","")&amp;IF($J$12=Condiciones_RC!E48,"|"&amp;$H$12&amp;"| ","")&amp;IF($J$13=Condiciones_RC!E48,"|"&amp;$H$13&amp;"| ","")&amp;IF($J$14=Condiciones_RC!E48,"|"&amp;$H$14&amp;"| ","")&amp;IF($J$15=Condiciones_RC!E48,"|"&amp;$H$15&amp;"| ","")&amp;IF($J$16=Condiciones_RC!E48,"|"&amp;$H$16&amp;"| ","")&amp;IF($J$17=Condiciones_RC!E48,"|"&amp;$H$17&amp;"| ","")&amp;IF($J$18=Condiciones_RC!E48,"|"&amp;$H$18&amp;"| ","")&amp;IF($J$19=Condiciones_RC!E48,"|"&amp;$H$19&amp;"| ","")&amp;IF($J$20=Condiciones_RC!E48,"|"&amp;$H$20&amp;"| ","")&amp;IF($J$21=Condiciones_RC!E48,"|"&amp;$H$21&amp;"| ","")&amp;IF($J$22=Condiciones_RC!E48,"|"&amp;$H$22&amp;"| ","")&amp;IF($J$23=Condiciones_RC!E48,"|"&amp;$H$23&amp;"| ","")&amp;IF($J$24=Condiciones_RC!E48,"|"&amp;$H$24&amp;"| ","")&amp;IF($J$25=Condiciones_RC!E48,"|"&amp;$H$25&amp;"|","")</f>
        <v xml:space="preserve">|ADM-C1| |ADQ-C2| </v>
      </c>
      <c r="P18" s="119" t="str">
        <f>IF($J$6=Condiciones_RC!F48,"|"&amp;$H$6&amp;"| ","")&amp;IF($J$7=Condiciones_RC!F48,"|"&amp;$H$7&amp;"| ","")&amp;IF($J$8=Condiciones_RC!F48,"|"&amp;$H$8&amp;"| ","")&amp;IF($J$9=Condiciones_RC!F48,"|"&amp;$H$9&amp;"| ","")&amp;IF($J$10=Condiciones_RC!F48,"|"&amp;$H$10&amp;"| ","")&amp;IF($J$11=Condiciones_RC!F48,"|"&amp;$H$11&amp;"| ","")&amp;IF($J$12=Condiciones_RC!F48,"|"&amp;$H$12&amp;"| ","")&amp;IF($J$13=Condiciones_RC!F48,"|"&amp;$H$13&amp;"| ","")&amp;IF($J$14=Condiciones_RC!F48,"|"&amp;$H$14&amp;"| ","")&amp;IF($J$15=Condiciones_RC!F48,"|"&amp;$H$15&amp;"| ","")&amp;IF($J$16=Condiciones_RC!F48,"|"&amp;$H$16&amp;"| ","")&amp;IF($J$17=Condiciones_RC!F48,"|"&amp;$H$17&amp;"| ","")&amp;IF($J$18=Condiciones_RC!F48,"|"&amp;$H$18&amp;"| ","")&amp;IF($J$19=Condiciones_RC!F48,"|"&amp;$H$19&amp;"| ","")&amp;IF($J$20=Condiciones_RC!F48,"|"&amp;$H$20&amp;"| ","")&amp;IF($J$21=Condiciones_RC!F48,"|"&amp;$H$21&amp;"| ","")&amp;IF($J$22=Condiciones_RC!F48,"|"&amp;$H$22&amp;"| ","")&amp;IF($J$23=Condiciones_RC!F48,"|"&amp;$H$23&amp;"| ","")&amp;IF($J$24=Condiciones_RC!F48,"|"&amp;$H$24&amp;"| ","")&amp;IF($J$25=Condiciones_RC!F48,"|"&amp;$H$25&amp;"|","")</f>
        <v/>
      </c>
    </row>
    <row r="19" spans="1:23" ht="45" x14ac:dyDescent="0.25">
      <c r="A19" s="105" t="str">
        <f>R_Corrupción[[#This Row],[Proceso]]</f>
        <v>Apropiación social del conocimiento y del patrimonio</v>
      </c>
      <c r="B19" s="105" t="str">
        <f>R_Corrupción[[#This Row],[Código riesgo]]</f>
        <v>APR-C2</v>
      </c>
      <c r="C19" s="106">
        <f>R_Corrupción[[#This Row],[Posición severidad i]]</f>
        <v>23</v>
      </c>
      <c r="D19" s="106">
        <f>R_Corrupción[[#This Row],[Posición severidad r]]</f>
        <v>16</v>
      </c>
      <c r="E19" s="128" t="str">
        <f>R_Corrupción[[#This Row],[Severidad inherente]]</f>
        <v>Extremo</v>
      </c>
      <c r="F19" s="128" t="str">
        <f>R_Corrupción[[#This Row],[Severidad residual]]</f>
        <v>Alto</v>
      </c>
      <c r="G19" s="100"/>
      <c r="H19"/>
      <c r="I19"/>
      <c r="J19"/>
      <c r="L19" s="265"/>
      <c r="M19" s="112" t="s">
        <v>95</v>
      </c>
      <c r="N19" s="120" t="str">
        <f>IF($J$6=Condiciones_RC!D49,"|"&amp;$H$6&amp;"| ","")&amp;IF($J$7=Condiciones_RC!D49,"|"&amp;$H$7&amp;"| ","")&amp;IF($J$8=Condiciones_RC!D49,"|"&amp;$H$8&amp;"| ","")&amp;IF($J$9=Condiciones_RC!D49,"|"&amp;$H$9&amp;"| ","")&amp;IF($J$10=Condiciones_RC!D49,"|"&amp;$H$10&amp;"| ","")&amp;IF($J$11=Condiciones_RC!D49,"|"&amp;$H$11&amp;"| ","")&amp;IF($J$12=Condiciones_RC!D49,"|"&amp;$H$12&amp;"| ","")&amp;IF($J$13=Condiciones_RC!D49,"|"&amp;$H$13&amp;"| ","")&amp;IF($J$14=Condiciones_RC!D49,"|"&amp;$H$14&amp;"| ","")&amp;IF($J$15=Condiciones_RC!D49,"|"&amp;$H$15&amp;"| ","")&amp;IF($J$16=Condiciones_RC!D49,"|"&amp;$H$16&amp;"| ","")&amp;IF($J$17=Condiciones_RC!D49,"|"&amp;$H$17&amp;"| ","")&amp;IF($J$18=Condiciones_RC!D49,"|"&amp;$H$18&amp;"| ","")&amp;IF($J$19=Condiciones_RC!D49,"|"&amp;$H$19&amp;"| ","")&amp;IF($J$20=Condiciones_RC!D49,"|"&amp;$H$20&amp;"| ","")&amp;IF($J$21=Condiciones_RC!D49,"|"&amp;$H$21&amp;"| ","")&amp;IF($J$22=Condiciones_RC!D49,"|"&amp;$H$22&amp;"| ","")&amp;IF($J$23=Condiciones_RC!D49,"|"&amp;$H$23&amp;"| ","")&amp;IF($J$24=Condiciones_RC!D49,"|"&amp;$H$24&amp;"| ","")&amp;IF($J$25=Condiciones_RC!D49,"|"&amp;$H$25&amp;"|","")</f>
        <v/>
      </c>
      <c r="O19" s="118" t="str">
        <f>IF($J$6=Condiciones_RC!E49,"|"&amp;$H$6&amp;"| ","")&amp;IF($J$7=Condiciones_RC!E49,"|"&amp;$H$7&amp;"| ","")&amp;IF($J$8=Condiciones_RC!E49,"|"&amp;$H$8&amp;"| ","")&amp;IF($J$9=Condiciones_RC!E49,"|"&amp;$H$9&amp;"| ","")&amp;IF($J$10=Condiciones_RC!E49,"|"&amp;$H$10&amp;"| ","")&amp;IF($J$11=Condiciones_RC!E49,"|"&amp;$H$11&amp;"| ","")&amp;IF($J$12=Condiciones_RC!E49,"|"&amp;$H$12&amp;"| ","")&amp;IF($J$13=Condiciones_RC!E49,"|"&amp;$H$13&amp;"| ","")&amp;IF($J$14=Condiciones_RC!E49,"|"&amp;$H$14&amp;"| ","")&amp;IF($J$15=Condiciones_RC!E49,"|"&amp;$H$15&amp;"| ","")&amp;IF($J$16=Condiciones_RC!E49,"|"&amp;$H$16&amp;"| ","")&amp;IF($J$17=Condiciones_RC!E49,"|"&amp;$H$17&amp;"| ","")&amp;IF($J$18=Condiciones_RC!E49,"|"&amp;$H$18&amp;"| ","")&amp;IF($J$19=Condiciones_RC!E49,"|"&amp;$H$19&amp;"| ","")&amp;IF($J$20=Condiciones_RC!E49,"|"&amp;$H$20&amp;"| ","")&amp;IF($J$21=Condiciones_RC!E49,"|"&amp;$H$21&amp;"| ","")&amp;IF($J$22=Condiciones_RC!E49,"|"&amp;$H$22&amp;"| ","")&amp;IF($J$23=Condiciones_RC!E49,"|"&amp;$H$23&amp;"| ","")&amp;IF($J$24=Condiciones_RC!E49,"|"&amp;$H$24&amp;"| ","")&amp;IF($J$25=Condiciones_RC!E49,"|"&amp;$H$25&amp;"|","")</f>
        <v xml:space="preserve">|COM-C1| </v>
      </c>
      <c r="P19" s="119" t="str">
        <f>IF($J$6=Condiciones_RC!F49,"|"&amp;$H$6&amp;"| ","")&amp;IF($J$7=Condiciones_RC!F49,"|"&amp;$H$7&amp;"| ","")&amp;IF($J$8=Condiciones_RC!F49,"|"&amp;$H$8&amp;"| ","")&amp;IF($J$9=Condiciones_RC!F49,"|"&amp;$H$9&amp;"| ","")&amp;IF($J$10=Condiciones_RC!F49,"|"&amp;$H$10&amp;"| ","")&amp;IF($J$11=Condiciones_RC!F49,"|"&amp;$H$11&amp;"| ","")&amp;IF($J$12=Condiciones_RC!F49,"|"&amp;$H$12&amp;"| ","")&amp;IF($J$13=Condiciones_RC!F49,"|"&amp;$H$13&amp;"| ","")&amp;IF($J$14=Condiciones_RC!F49,"|"&amp;$H$14&amp;"| ","")&amp;IF($J$15=Condiciones_RC!F49,"|"&amp;$H$15&amp;"| ","")&amp;IF($J$16=Condiciones_RC!F49,"|"&amp;$H$16&amp;"| ","")&amp;IF($J$17=Condiciones_RC!F49,"|"&amp;$H$17&amp;"| ","")&amp;IF($J$18=Condiciones_RC!F49,"|"&amp;$H$18&amp;"| ","")&amp;IF($J$19=Condiciones_RC!F49,"|"&amp;$H$19&amp;"| ","")&amp;IF($J$20=Condiciones_RC!F49,"|"&amp;$H$20&amp;"| ","")&amp;IF($J$21=Condiciones_RC!F49,"|"&amp;$H$21&amp;"| ","")&amp;IF($J$22=Condiciones_RC!F49,"|"&amp;$H$22&amp;"| ","")&amp;IF($J$23=Condiciones_RC!F49,"|"&amp;$H$23&amp;"| ","")&amp;IF($J$24=Condiciones_RC!F49,"|"&amp;$H$24&amp;"| ","")&amp;IF($J$25=Condiciones_RC!F49,"|"&amp;$H$25&amp;"|","")</f>
        <v/>
      </c>
    </row>
    <row r="20" spans="1:23" ht="16.5" x14ac:dyDescent="0.25">
      <c r="A20" s="105" t="str">
        <f>R_Corrupción[[#This Row],[Proceso]]</f>
        <v>Adquisiciones</v>
      </c>
      <c r="B20" s="105" t="str">
        <f>R_Corrupción[[#This Row],[Código riesgo]]</f>
        <v>ADQ-C2</v>
      </c>
      <c r="C20" s="106">
        <f>R_Corrupción[[#This Row],[Posición severidad i]]</f>
        <v>17</v>
      </c>
      <c r="D20" s="106">
        <f>R_Corrupción[[#This Row],[Posición severidad r]]</f>
        <v>16</v>
      </c>
      <c r="E20" s="128" t="str">
        <f>R_Corrupción[[#This Row],[Severidad inherente]]</f>
        <v>Alto</v>
      </c>
      <c r="F20" s="128" t="str">
        <f>R_Corrupción[[#This Row],[Severidad residual]]</f>
        <v>Alto</v>
      </c>
      <c r="H20"/>
      <c r="I20"/>
      <c r="J20"/>
      <c r="M20" s="113"/>
      <c r="N20" s="110" t="s">
        <v>96</v>
      </c>
      <c r="O20" s="109" t="s">
        <v>97</v>
      </c>
      <c r="P20" s="108" t="s">
        <v>98</v>
      </c>
    </row>
    <row r="21" spans="1:23" ht="45" x14ac:dyDescent="0.25">
      <c r="A21" s="105" t="str">
        <f>R_Corrupción[[#This Row],[Proceso]]</f>
        <v>Apropiación social del conocimiento y del patrimonio</v>
      </c>
      <c r="B21" s="105" t="str">
        <f>R_Corrupción[[#This Row],[Código riesgo]]</f>
        <v>APR-C3</v>
      </c>
      <c r="C21" s="106">
        <f>R_Corrupción[[#This Row],[Posición severidad i]]</f>
        <v>22</v>
      </c>
      <c r="D21" s="106">
        <f>R_Corrupción[[#This Row],[Posición severidad r]]</f>
        <v>14</v>
      </c>
      <c r="E21" s="128" t="str">
        <f>R_Corrupción[[#This Row],[Severidad inherente]]</f>
        <v>Extremo</v>
      </c>
      <c r="F21" s="128" t="str">
        <f>R_Corrupción[[#This Row],[Severidad residual]]</f>
        <v>Alto</v>
      </c>
      <c r="H21"/>
      <c r="I21"/>
      <c r="J21"/>
      <c r="N21" s="267" t="s">
        <v>25</v>
      </c>
      <c r="O21" s="267"/>
      <c r="P21" s="267"/>
    </row>
    <row r="22" spans="1:23" x14ac:dyDescent="0.25">
      <c r="H22" s="102"/>
    </row>
    <row r="23" spans="1:23" ht="33" x14ac:dyDescent="0.25">
      <c r="H23" s="102"/>
      <c r="N23" s="130" t="s">
        <v>124</v>
      </c>
    </row>
    <row r="24" spans="1:23" ht="16.5" x14ac:dyDescent="0.25">
      <c r="H24" s="102"/>
      <c r="N24" s="110" t="s">
        <v>96</v>
      </c>
    </row>
    <row r="25" spans="1:23" ht="16.5" x14ac:dyDescent="0.25">
      <c r="H25" s="102"/>
      <c r="N25" s="129" t="s">
        <v>125</v>
      </c>
    </row>
    <row r="26" spans="1:23" ht="16.5" x14ac:dyDescent="0.25">
      <c r="H26" s="102"/>
      <c r="N26" s="108" t="s">
        <v>126</v>
      </c>
    </row>
    <row r="27" spans="1:23" x14ac:dyDescent="0.25">
      <c r="H27" s="102"/>
    </row>
    <row r="28" spans="1:23" x14ac:dyDescent="0.25">
      <c r="H28" s="102"/>
    </row>
    <row r="29" spans="1:23" x14ac:dyDescent="0.25">
      <c r="H29" s="102"/>
    </row>
    <row r="30" spans="1:23" x14ac:dyDescent="0.25">
      <c r="H30" s="102"/>
    </row>
    <row r="31" spans="1:23" x14ac:dyDescent="0.25">
      <c r="H31" s="102"/>
    </row>
    <row r="32" spans="1:23" x14ac:dyDescent="0.25">
      <c r="H32" s="102"/>
    </row>
    <row r="33" spans="8:8" x14ac:dyDescent="0.25">
      <c r="H33" s="102"/>
    </row>
    <row r="34" spans="8:8" x14ac:dyDescent="0.25">
      <c r="H34" s="102"/>
    </row>
    <row r="35" spans="8:8" x14ac:dyDescent="0.25">
      <c r="H35" s="102"/>
    </row>
    <row r="36" spans="8:8" x14ac:dyDescent="0.25">
      <c r="H36" s="102"/>
    </row>
    <row r="37" spans="8:8" x14ac:dyDescent="0.25">
      <c r="H37" s="102"/>
    </row>
    <row r="38" spans="8:8" x14ac:dyDescent="0.25">
      <c r="H38" s="102"/>
    </row>
    <row r="39" spans="8:8" x14ac:dyDescent="0.25">
      <c r="H39" s="102"/>
    </row>
    <row r="40" spans="8:8" x14ac:dyDescent="0.25">
      <c r="H40" s="102"/>
    </row>
    <row r="41" spans="8:8" x14ac:dyDescent="0.25">
      <c r="H41" s="102"/>
    </row>
  </sheetData>
  <mergeCells count="12">
    <mergeCell ref="A2:C2"/>
    <mergeCell ref="M5:P5"/>
    <mergeCell ref="Q1:T2"/>
    <mergeCell ref="L15:L19"/>
    <mergeCell ref="L6:L10"/>
    <mergeCell ref="U6:U10"/>
    <mergeCell ref="H1:J2"/>
    <mergeCell ref="N21:P21"/>
    <mergeCell ref="V5:Y5"/>
    <mergeCell ref="N12:P12"/>
    <mergeCell ref="W12:Y12"/>
    <mergeCell ref="M14:P14"/>
  </mergeCells>
  <conditionalFormatting sqref="D6:D21">
    <cfRule type="expression" dxfId="1" priority="7">
      <formula>C6=D6</formula>
    </cfRule>
  </conditionalFormatting>
  <conditionalFormatting sqref="F6:F21">
    <cfRule type="expression" dxfId="0" priority="1">
      <formula>E6=F6</formula>
    </cfRule>
  </conditionalFormatting>
  <pageMargins left="0.7" right="0.7" top="0.75" bottom="0.75" header="0.3" footer="0.3"/>
  <pageSetup paperSize="0" orientation="portrait" horizontalDpi="0" verticalDpi="0" copies="0"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5F89-929B-4260-A274-FDF81FFF0DE9}">
  <dimension ref="A1:F8"/>
  <sheetViews>
    <sheetView workbookViewId="0">
      <pane ySplit="2" topLeftCell="A3" activePane="bottomLeft" state="frozen"/>
      <selection pane="bottomLeft" sqref="A1:F1"/>
    </sheetView>
  </sheetViews>
  <sheetFormatPr baseColWidth="10" defaultColWidth="11.42578125" defaultRowHeight="15" x14ac:dyDescent="0.25"/>
  <cols>
    <col min="1" max="1" width="7.85546875" style="34" bestFit="1" customWidth="1"/>
    <col min="2" max="2" width="10.85546875" style="34" bestFit="1" customWidth="1"/>
    <col min="3" max="5" width="25.85546875" style="34" customWidth="1"/>
    <col min="6" max="6" width="63" style="34" customWidth="1"/>
    <col min="7" max="16384" width="11.42578125" style="34"/>
  </cols>
  <sheetData>
    <row r="1" spans="1:6" ht="29.25" customHeight="1" x14ac:dyDescent="0.25">
      <c r="A1" s="273" t="s">
        <v>699</v>
      </c>
      <c r="B1" s="274"/>
      <c r="C1" s="274"/>
      <c r="D1" s="274"/>
      <c r="E1" s="274"/>
      <c r="F1" s="274"/>
    </row>
    <row r="2" spans="1:6" ht="49.5" x14ac:dyDescent="0.25">
      <c r="A2" s="275" t="s">
        <v>700</v>
      </c>
      <c r="B2" s="275" t="s">
        <v>701</v>
      </c>
      <c r="C2" s="275" t="s">
        <v>702</v>
      </c>
      <c r="D2" s="275" t="s">
        <v>703</v>
      </c>
      <c r="E2" s="275" t="s">
        <v>704</v>
      </c>
      <c r="F2" s="275" t="s">
        <v>705</v>
      </c>
    </row>
    <row r="3" spans="1:6" ht="49.5" x14ac:dyDescent="0.25">
      <c r="A3" s="139">
        <v>1</v>
      </c>
      <c r="B3" s="276">
        <v>44531</v>
      </c>
      <c r="C3" s="141" t="s">
        <v>706</v>
      </c>
      <c r="D3" s="141" t="s">
        <v>707</v>
      </c>
      <c r="E3" s="141" t="s">
        <v>708</v>
      </c>
      <c r="F3" s="141" t="s">
        <v>709</v>
      </c>
    </row>
    <row r="4" spans="1:6" ht="181.5" x14ac:dyDescent="0.25">
      <c r="A4" s="139">
        <v>2</v>
      </c>
      <c r="B4" s="276">
        <v>44728</v>
      </c>
      <c r="C4" s="141" t="s">
        <v>706</v>
      </c>
      <c r="D4" s="141" t="s">
        <v>710</v>
      </c>
      <c r="E4" s="141" t="s">
        <v>711</v>
      </c>
      <c r="F4" s="141" t="s">
        <v>712</v>
      </c>
    </row>
    <row r="5" spans="1:6" ht="181.5" x14ac:dyDescent="0.25">
      <c r="A5" s="139">
        <v>3</v>
      </c>
      <c r="B5" s="276">
        <v>44833</v>
      </c>
      <c r="C5" s="141" t="s">
        <v>706</v>
      </c>
      <c r="D5" s="141" t="s">
        <v>710</v>
      </c>
      <c r="E5" s="141" t="s">
        <v>713</v>
      </c>
      <c r="F5" s="141" t="s">
        <v>714</v>
      </c>
    </row>
    <row r="6" spans="1:6" ht="280.5" x14ac:dyDescent="0.25">
      <c r="A6" s="139">
        <v>4</v>
      </c>
      <c r="B6" s="276">
        <v>45166</v>
      </c>
      <c r="C6" s="141" t="s">
        <v>715</v>
      </c>
      <c r="D6" s="141" t="s">
        <v>716</v>
      </c>
      <c r="E6" s="141" t="s">
        <v>717</v>
      </c>
      <c r="F6" s="141" t="s">
        <v>718</v>
      </c>
    </row>
    <row r="7" spans="1:6" ht="214.5" x14ac:dyDescent="0.25">
      <c r="A7" s="139">
        <v>5</v>
      </c>
      <c r="B7" s="276">
        <v>45412</v>
      </c>
      <c r="C7" s="141" t="s">
        <v>715</v>
      </c>
      <c r="D7" s="141" t="s">
        <v>719</v>
      </c>
      <c r="E7" s="141" t="s">
        <v>719</v>
      </c>
      <c r="F7" s="141" t="s">
        <v>720</v>
      </c>
    </row>
    <row r="8" spans="1:6" ht="115.5" x14ac:dyDescent="0.25">
      <c r="A8" s="139">
        <v>6</v>
      </c>
      <c r="B8" s="276">
        <v>45534</v>
      </c>
      <c r="C8" s="141" t="s">
        <v>715</v>
      </c>
      <c r="D8" s="141" t="s">
        <v>719</v>
      </c>
      <c r="E8" s="141" t="s">
        <v>719</v>
      </c>
      <c r="F8" s="141" t="s">
        <v>721</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26</vt:i4>
      </vt:variant>
    </vt:vector>
  </HeadingPairs>
  <TitlesOfParts>
    <vt:vector size="33" baseType="lpstr">
      <vt:lpstr>Condiciones_RC</vt:lpstr>
      <vt:lpstr>Mapa_RC</vt:lpstr>
      <vt:lpstr>Control_RC</vt:lpstr>
      <vt:lpstr>Versionador_RC</vt:lpstr>
      <vt:lpstr>Ajustes</vt:lpstr>
      <vt:lpstr>Matrices_RC</vt:lpstr>
      <vt:lpstr>6.Control de cambios</vt:lpstr>
      <vt:lpstr>Afectación</vt:lpstr>
      <vt:lpstr>C_Atributos</vt:lpstr>
      <vt:lpstr>C_Efecto</vt:lpstr>
      <vt:lpstr>C_Forma</vt:lpstr>
      <vt:lpstr>C_Frecuencia</vt:lpstr>
      <vt:lpstr>C_Momento</vt:lpstr>
      <vt:lpstr>C_Peso</vt:lpstr>
      <vt:lpstr>Consecuencias</vt:lpstr>
      <vt:lpstr>F_Evento_Externo</vt:lpstr>
      <vt:lpstr>F_Infraestructura</vt:lpstr>
      <vt:lpstr>F_Procesos</vt:lpstr>
      <vt:lpstr>F_Talento_Humano</vt:lpstr>
      <vt:lpstr>F_Tecnología</vt:lpstr>
      <vt:lpstr>Factor</vt:lpstr>
      <vt:lpstr>Frecuencia</vt:lpstr>
      <vt:lpstr>I_Cualitativo</vt:lpstr>
      <vt:lpstr>I_Cuantitativo</vt:lpstr>
      <vt:lpstr>Imagen</vt:lpstr>
      <vt:lpstr>P_Cualitativa</vt:lpstr>
      <vt:lpstr>P_Cuantitativa</vt:lpstr>
      <vt:lpstr>Pesos</vt:lpstr>
      <vt:lpstr>Procesos</vt:lpstr>
      <vt:lpstr>S_Nivel</vt:lpstr>
      <vt:lpstr>S_Posición</vt:lpstr>
      <vt:lpstr>Severidad</vt:lpstr>
      <vt:lpstr>Tratamiento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Quilaguy Bernal</dc:creator>
  <cp:keywords/>
  <dc:description/>
  <cp:lastModifiedBy>Diana Carolina Ramírez García</cp:lastModifiedBy>
  <cp:revision/>
  <dcterms:created xsi:type="dcterms:W3CDTF">2024-08-11T20:08:17Z</dcterms:created>
  <dcterms:modified xsi:type="dcterms:W3CDTF">2024-09-12T03:23:53Z</dcterms:modified>
  <cp:category/>
  <cp:contentStatus/>
</cp:coreProperties>
</file>